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0ff\AC\Temp\"/>
    </mc:Choice>
  </mc:AlternateContent>
  <xr:revisionPtr revIDLastSave="0" documentId="8_{3AB63575-6931-284E-AE0B-B672C3F35D95}" xr6:coauthVersionLast="43" xr6:coauthVersionMax="43" xr10:uidLastSave="{00000000-0000-0000-0000-000000000000}"/>
  <bookViews>
    <workbookView showSheetTabs="0" xWindow="-120" yWindow="-120" windowWidth="15600" windowHeight="11760" xr2:uid="{00000000-000D-0000-FFFF-FFFF00000000}"/>
  </bookViews>
  <sheets>
    <sheet name="answer sheet" sheetId="2" r:id="rId1"/>
    <sheet name="calc sheet" sheetId="1" r:id="rId2"/>
  </sheets>
  <definedNames>
    <definedName name="As">'calc sheet'!$E$51</definedName>
    <definedName name="d">'calc sheet'!$E$49</definedName>
    <definedName name="K">'calc sheet'!$E$52</definedName>
    <definedName name="_xlnm.Print_Area" localSheetId="0">'answer sheet'!$A$1:$F$61</definedName>
    <definedName name="Q">'calc sheet'!$E$50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2" l="1"/>
  <c r="C43" i="2"/>
  <c r="M8" i="1"/>
  <c r="M31" i="1"/>
  <c r="M32" i="1"/>
  <c r="D60" i="2"/>
  <c r="E34" i="2"/>
  <c r="P24" i="1"/>
  <c r="C34" i="2"/>
  <c r="C18" i="2"/>
  <c r="C12" i="2"/>
  <c r="J8" i="1"/>
  <c r="E52" i="1"/>
  <c r="M54" i="1"/>
  <c r="E28" i="1"/>
  <c r="E50" i="1"/>
  <c r="P8" i="1"/>
  <c r="E40" i="1"/>
  <c r="E49" i="1"/>
  <c r="H8" i="1"/>
  <c r="E29" i="1"/>
  <c r="E30" i="1"/>
  <c r="C32" i="1"/>
  <c r="E39" i="1"/>
  <c r="D42" i="1"/>
  <c r="E51" i="1"/>
  <c r="C55" i="1"/>
  <c r="C56" i="1"/>
  <c r="C57" i="1"/>
  <c r="C58" i="1"/>
  <c r="C59" i="1"/>
  <c r="C63" i="1"/>
  <c r="C64" i="1"/>
  <c r="D57" i="2"/>
  <c r="C65" i="1"/>
  <c r="D48" i="2"/>
  <c r="C50" i="2"/>
  <c r="C51" i="2"/>
  <c r="C52" i="2"/>
  <c r="D59" i="2"/>
  <c r="D54" i="2"/>
  <c r="D56" i="2"/>
  <c r="D55" i="2"/>
  <c r="F30" i="1"/>
  <c r="C17" i="1"/>
  <c r="C18" i="1"/>
  <c r="C19" i="1"/>
  <c r="C20" i="1"/>
  <c r="C7" i="1"/>
  <c r="C11" i="1"/>
  <c r="C12" i="1"/>
  <c r="C13" i="1"/>
  <c r="C14" i="1"/>
  <c r="C15" i="1"/>
  <c r="C16" i="1"/>
  <c r="C10" i="1"/>
  <c r="C9" i="1"/>
  <c r="C8" i="1"/>
</calcChain>
</file>

<file path=xl/sharedStrings.xml><?xml version="1.0" encoding="utf-8"?>
<sst xmlns="http://schemas.openxmlformats.org/spreadsheetml/2006/main" count="148" uniqueCount="107">
  <si>
    <t>W</t>
  </si>
  <si>
    <t>d</t>
  </si>
  <si>
    <t>max runoff rate</t>
  </si>
  <si>
    <t>Q</t>
  </si>
  <si>
    <t>metres</t>
  </si>
  <si>
    <t>m3/day</t>
  </si>
  <si>
    <t>m2</t>
  </si>
  <si>
    <t>m/day</t>
  </si>
  <si>
    <t>hydraulic conductivity</t>
  </si>
  <si>
    <t>reed bed surface area</t>
  </si>
  <si>
    <t>As</t>
  </si>
  <si>
    <t>K</t>
  </si>
  <si>
    <t>W x d = ((Q x As)/(0.1 x K))^0.5</t>
  </si>
  <si>
    <t>Q x As =</t>
  </si>
  <si>
    <t>0.1 x K =</t>
  </si>
  <si>
    <t>((Q x As)/(0.1 x K))^.5 =</t>
  </si>
  <si>
    <t>W x d =</t>
  </si>
  <si>
    <t>W =</t>
  </si>
  <si>
    <t>Target Reduction</t>
  </si>
  <si>
    <t>Reed Bed Volume</t>
  </si>
  <si>
    <t>Reed Bed Surface Area</t>
  </si>
  <si>
    <t>Reed Bed Surface Area =</t>
  </si>
  <si>
    <t>reed bed volume (m3)/water depth (m)</t>
  </si>
  <si>
    <t>dimensions of reed bed</t>
  </si>
  <si>
    <t>unknown</t>
  </si>
  <si>
    <t>width of reed bed</t>
  </si>
  <si>
    <t>reed bed water depth</t>
  </si>
  <si>
    <t>reed bed volume</t>
  </si>
  <si>
    <t>m3</t>
  </si>
  <si>
    <t>Vr</t>
  </si>
  <si>
    <t>As =</t>
  </si>
  <si>
    <t>Hydraulic Residence Time</t>
  </si>
  <si>
    <t>days</t>
  </si>
  <si>
    <t>HRT</t>
  </si>
  <si>
    <t>HRT =</t>
  </si>
  <si>
    <t>ln(1-y)/-0.5237</t>
  </si>
  <si>
    <t>target nitrate nitrogen reduction</t>
  </si>
  <si>
    <t>decimal</t>
  </si>
  <si>
    <t>y</t>
  </si>
  <si>
    <t>ie 90%</t>
  </si>
  <si>
    <t>ie 85%</t>
  </si>
  <si>
    <t>ie 80%</t>
  </si>
  <si>
    <t>ie 75%</t>
  </si>
  <si>
    <t>ie 70%</t>
  </si>
  <si>
    <t>ie 65%</t>
  </si>
  <si>
    <t>ie 60%</t>
  </si>
  <si>
    <t>ie 55%</t>
  </si>
  <si>
    <t>ie 50%</t>
  </si>
  <si>
    <t>ie 95%</t>
  </si>
  <si>
    <t>(daily runoff x HRT x 100)/gravel porosity</t>
  </si>
  <si>
    <t>Reed Bed Volume =</t>
  </si>
  <si>
    <t>Qd</t>
  </si>
  <si>
    <t>daily runoff (adopt 70% of applied irrigation)</t>
  </si>
  <si>
    <t>gravel porsity (measure or assume 40%)</t>
  </si>
  <si>
    <t>%</t>
  </si>
  <si>
    <t>p</t>
  </si>
  <si>
    <t>HRT (from above desired reduction)</t>
  </si>
  <si>
    <t>daily irrigation amount</t>
  </si>
  <si>
    <t>daily summer irrigation (mm)</t>
  </si>
  <si>
    <t>amount of runoff (%)</t>
  </si>
  <si>
    <t>percentage of runoff</t>
  </si>
  <si>
    <t>litres</t>
  </si>
  <si>
    <t>depth of water</t>
  </si>
  <si>
    <t>m</t>
  </si>
  <si>
    <t>please select</t>
  </si>
  <si>
    <t>Target "N" Reduction (%)</t>
  </si>
  <si>
    <t>gravel porosity</t>
  </si>
  <si>
    <t>OF A SUB SURFACE REED BED</t>
  </si>
  <si>
    <t>ESTIMATING THE VOLUME AND DIMENSIONS</t>
  </si>
  <si>
    <t>This calculator is based on the research findings of Dirou, Headley, Huett, Stovold and Davison</t>
  </si>
  <si>
    <t xml:space="preserve"> in "Constructing a Reed Bed to Treat Runoff Water - A Guide for Nurseries".</t>
  </si>
  <si>
    <t>RESULTS</t>
  </si>
  <si>
    <t>Enter your target nitrate nitrogen reduction as a percentage</t>
  </si>
  <si>
    <t>Step 1</t>
  </si>
  <si>
    <t>Step 2</t>
  </si>
  <si>
    <t>Step 3</t>
  </si>
  <si>
    <t>Step 4</t>
  </si>
  <si>
    <t>Step 5</t>
  </si>
  <si>
    <t>Step 6</t>
  </si>
  <si>
    <t>Enter your typical daily summer irrigation amount in mm</t>
  </si>
  <si>
    <t>Enter your estimate of the percentage of runoff</t>
  </si>
  <si>
    <t>Enter the gravel porosity as a %</t>
  </si>
  <si>
    <t>Enter the depth of water in the reed bed in metres</t>
  </si>
  <si>
    <r>
      <t>Enter the area of the irrigation in m</t>
    </r>
    <r>
      <rPr>
        <vertAlign val="superscript"/>
        <sz val="11"/>
        <rFont val="Verdana"/>
        <family val="2"/>
      </rPr>
      <t>2</t>
    </r>
  </si>
  <si>
    <r>
      <t>irrigation area (m</t>
    </r>
    <r>
      <rPr>
        <vertAlign val="superscript"/>
        <sz val="11"/>
        <rFont val="Verdana"/>
        <family val="2"/>
      </rPr>
      <t>2</t>
    </r>
    <r>
      <rPr>
        <sz val="11"/>
        <rFont val="Verdana"/>
        <family val="2"/>
      </rPr>
      <t>)</t>
    </r>
  </si>
  <si>
    <t>The calculated hydraulic residence time is</t>
  </si>
  <si>
    <t xml:space="preserve"> %</t>
  </si>
  <si>
    <t xml:space="preserve"> mm</t>
  </si>
  <si>
    <r>
      <t xml:space="preserve"> m</t>
    </r>
    <r>
      <rPr>
        <vertAlign val="superscript"/>
        <sz val="11"/>
        <rFont val="Verdana"/>
        <family val="2"/>
      </rPr>
      <t>2</t>
    </r>
  </si>
  <si>
    <t xml:space="preserve"> m</t>
  </si>
  <si>
    <t>The daily volume of irrigation runoff is</t>
  </si>
  <si>
    <t>The surface area of water is</t>
  </si>
  <si>
    <t>The minimum bed width required is</t>
  </si>
  <si>
    <t>The required reed bed storage volume is</t>
  </si>
  <si>
    <t>Check length to width ratio</t>
  </si>
  <si>
    <t>L:W ratio should be between 1 and 3</t>
  </si>
  <si>
    <t>L =</t>
  </si>
  <si>
    <t>L/W ratio</t>
  </si>
  <si>
    <t>The length to width ratio is</t>
  </si>
  <si>
    <t>The length of the reed bed is</t>
  </si>
  <si>
    <t>Enter the gravel size used in the substrate</t>
  </si>
  <si>
    <t>Step 7</t>
  </si>
  <si>
    <t>long term hydraulic conductivity</t>
  </si>
  <si>
    <t>5 mm</t>
  </si>
  <si>
    <t>10 mm</t>
  </si>
  <si>
    <r>
      <t>m</t>
    </r>
    <r>
      <rPr>
        <b/>
        <vertAlign val="superscript"/>
        <sz val="11"/>
        <rFont val="Verdana"/>
        <family val="2"/>
      </rPr>
      <t>3</t>
    </r>
  </si>
  <si>
    <r>
      <t>m</t>
    </r>
    <r>
      <rPr>
        <b/>
        <vertAlign val="superscript"/>
        <sz val="11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</si>
</sst>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2"/>
      <name val="Verdana"/>
    </font>
    <font>
      <sz val="8"/>
      <name val="Verdana"/>
    </font>
    <font>
      <b/>
      <sz val="11"/>
      <color indexed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indexed="48"/>
      <name val="Verdana"/>
      <family val="2"/>
    </font>
    <font>
      <sz val="9"/>
      <name val="Verdana"/>
      <family val="2"/>
    </font>
    <font>
      <i/>
      <sz val="10"/>
      <name val="Verdana"/>
      <family val="2"/>
    </font>
    <font>
      <vertAlign val="superscript"/>
      <sz val="11"/>
      <name val="Verdana"/>
      <family val="2"/>
    </font>
    <font>
      <b/>
      <vertAlign val="superscript"/>
      <sz val="11"/>
      <name val="Verdana"/>
      <family val="2"/>
    </font>
    <font>
      <b/>
      <sz val="11"/>
      <color indexed="12"/>
      <name val="Verdana"/>
      <family val="2"/>
    </font>
    <font>
      <b/>
      <sz val="10"/>
      <color indexed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1" fillId="0" borderId="0" xfId="0" quotePrefix="1" applyFont="1"/>
    <xf numFmtId="0" fontId="1" fillId="2" borderId="0" xfId="0" applyFont="1" applyFill="1"/>
    <xf numFmtId="0" fontId="1" fillId="0" borderId="0" xfId="0" applyFont="1" applyFill="1"/>
    <xf numFmtId="164" fontId="1" fillId="0" borderId="0" xfId="0" applyNumberFormat="1" applyFont="1"/>
    <xf numFmtId="0" fontId="2" fillId="3" borderId="0" xfId="0" applyFont="1" applyFill="1" applyAlignment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/>
    <xf numFmtId="0" fontId="5" fillId="3" borderId="0" xfId="0" applyFont="1" applyFill="1" applyAlignment="1"/>
    <xf numFmtId="3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2" fontId="1" fillId="2" borderId="0" xfId="0" applyNumberFormat="1" applyFont="1" applyFill="1"/>
    <xf numFmtId="2" fontId="1" fillId="0" borderId="0" xfId="0" applyNumberFormat="1" applyFont="1" applyFill="1"/>
    <xf numFmtId="0" fontId="4" fillId="3" borderId="0" xfId="0" applyFont="1" applyFill="1" applyAlignment="1">
      <alignment horizontal="right" vertical="center"/>
    </xf>
    <xf numFmtId="165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0" fontId="3" fillId="3" borderId="0" xfId="0" applyFont="1" applyFill="1" applyBorder="1" applyAlignment="1"/>
    <xf numFmtId="0" fontId="3" fillId="3" borderId="1" xfId="0" applyFont="1" applyFill="1" applyBorder="1" applyAlignment="1"/>
    <xf numFmtId="0" fontId="5" fillId="3" borderId="2" xfId="0" applyFont="1" applyFill="1" applyBorder="1" applyAlignment="1"/>
    <xf numFmtId="0" fontId="2" fillId="3" borderId="2" xfId="0" applyFont="1" applyFill="1" applyBorder="1" applyAlignment="1"/>
    <xf numFmtId="0" fontId="2" fillId="3" borderId="1" xfId="0" applyFont="1" applyFill="1" applyBorder="1" applyAlignment="1"/>
    <xf numFmtId="0" fontId="2" fillId="3" borderId="0" xfId="0" quotePrefix="1" applyFont="1" applyFill="1" applyAlignment="1"/>
    <xf numFmtId="0" fontId="10" fillId="3" borderId="0" xfId="0" quotePrefix="1" applyFont="1" applyFill="1" applyAlignment="1"/>
    <xf numFmtId="3" fontId="3" fillId="0" borderId="0" xfId="0" applyNumberFormat="1" applyFont="1" applyFill="1" applyAlignment="1">
      <alignment vertical="center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Drop" dropStyle="combo" dx="22" fmlaLink="'calc sheet'!$J$7" fmlaRange="'calc sheet'!$I$7:$I$21" sel="1" val="0"/>
</file>

<file path=xl/ctrlProps/ctrlProp2.xml><?xml version="1.0" encoding="utf-8"?>
<formControlPr xmlns="http://schemas.microsoft.com/office/spreadsheetml/2009/9/main" objectType="Drop" dropStyle="combo" dx="22" fmlaLink="'calc sheet'!$M$7" fmlaRange="'calc sheet'!$L$7:$L$21" sel="1" val="0"/>
</file>

<file path=xl/ctrlProps/ctrlProp3.xml><?xml version="1.0" encoding="utf-8"?>
<formControlPr xmlns="http://schemas.microsoft.com/office/spreadsheetml/2009/9/main" objectType="Drop" dropStyle="combo" dx="22" fmlaLink="'calc sheet'!$M$30" fmlaRange="'calc sheet'!$L$30:$L$46" sel="1" val="0"/>
</file>

<file path=xl/ctrlProps/ctrlProp4.xml><?xml version="1.0" encoding="utf-8"?>
<formControlPr xmlns="http://schemas.microsoft.com/office/spreadsheetml/2009/9/main" objectType="Drop" dropStyle="combo" dx="22" fmlaLink="'calc sheet'!$P$7" fmlaRange="'calc sheet'!$O$7:$O$14" sel="1" val="0"/>
</file>

<file path=xl/ctrlProps/ctrlProp5.xml><?xml version="1.0" encoding="utf-8"?>
<formControlPr xmlns="http://schemas.microsoft.com/office/spreadsheetml/2009/9/main" objectType="Drop" dropStyle="combo" dx="22" fmlaLink="'calc sheet'!$P$23" fmlaRange="'calc sheet'!$O$23:$O$31" sel="1" val="0"/>
</file>

<file path=xl/ctrlProps/ctrlProp6.xml><?xml version="1.0" encoding="utf-8"?>
<formControlPr xmlns="http://schemas.microsoft.com/office/spreadsheetml/2009/9/main" objectType="Drop" dropStyle="combo" dx="22" fmlaLink="'calc sheet'!$M$51" fmlaRange="'calc sheet'!$L$51:$L$53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847725</xdr:colOff>
          <xdr:row>10</xdr:row>
          <xdr:rowOff>28575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742F326-2302-4E3E-8783-C113D90F5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847725</xdr:colOff>
          <xdr:row>16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11C85BD1-8E6D-4C1F-89E3-30EBB21E74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847725</xdr:colOff>
          <xdr:row>26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7C7D3C72-A945-4415-A87C-40D90AAA43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9525</xdr:rowOff>
        </xdr:from>
        <xdr:to>
          <xdr:col>3</xdr:col>
          <xdr:colOff>847725</xdr:colOff>
          <xdr:row>32</xdr:row>
          <xdr:rowOff>28575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99A44ABA-FB43-48E4-A2B9-B0039F8DFB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3152775</xdr:colOff>
          <xdr:row>40</xdr:row>
          <xdr:rowOff>0</xdr:rowOff>
        </xdr:from>
        <xdr:to>
          <xdr:col>3</xdr:col>
          <xdr:colOff>838200</xdr:colOff>
          <xdr:row>41</xdr:row>
          <xdr:rowOff>19050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F90329D0-F057-44A6-8954-E6DD6F2460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171450</xdr:rowOff>
        </xdr:from>
        <xdr:to>
          <xdr:col>3</xdr:col>
          <xdr:colOff>847725</xdr:colOff>
          <xdr:row>36</xdr:row>
          <xdr:rowOff>9525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EDC3095C-05D4-4218-851C-EDC0089B41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676275</xdr:colOff>
      <xdr:row>58</xdr:row>
      <xdr:rowOff>9525</xdr:rowOff>
    </xdr:from>
    <xdr:to>
      <xdr:col>5</xdr:col>
      <xdr:colOff>0</xdr:colOff>
      <xdr:row>60</xdr:row>
      <xdr:rowOff>38100</xdr:rowOff>
    </xdr:to>
    <xdr:pic>
      <xdr:nvPicPr>
        <xdr:cNvPr id="2055" name="Picture 7" descr="Waterwork logo2">
          <a:extLst>
            <a:ext uri="{FF2B5EF4-FFF2-40B4-BE49-F238E27FC236}">
              <a16:creationId xmlns:a16="http://schemas.microsoft.com/office/drawing/2014/main" id="{9C4EAB70-018D-4ADD-81A8-6192C1D46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8886825"/>
          <a:ext cx="1409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showGridLines="0" showRowColHeaders="0" tabSelected="1" topLeftCell="B1" workbookViewId="0">
      <selection activeCell="D22" sqref="D22"/>
    </sheetView>
  </sheetViews>
  <sheetFormatPr defaultColWidth="8.74609375" defaultRowHeight="14.25" x14ac:dyDescent="0.15"/>
  <cols>
    <col min="1" max="1" width="0.98046875" style="17" customWidth="1"/>
    <col min="2" max="2" width="5.796875" style="17" bestFit="1" customWidth="1"/>
    <col min="3" max="3" width="33.2265625" style="17" customWidth="1"/>
    <col min="4" max="4" width="9.53515625" style="17" customWidth="1"/>
    <col min="5" max="5" width="21.921875" style="17" customWidth="1"/>
    <col min="6" max="6" width="0.58984375" style="17" customWidth="1"/>
    <col min="7" max="16384" width="8.74609375" style="17"/>
  </cols>
  <sheetData>
    <row r="1" spans="1:6" ht="6.75" customHeight="1" x14ac:dyDescent="0.15">
      <c r="A1" s="11"/>
      <c r="B1" s="11"/>
      <c r="C1" s="11"/>
      <c r="D1" s="11"/>
      <c r="E1" s="11"/>
      <c r="F1" s="11"/>
    </row>
    <row r="2" spans="1:6" x14ac:dyDescent="0.15">
      <c r="A2" s="11"/>
      <c r="B2" s="11"/>
      <c r="C2" s="41" t="s">
        <v>68</v>
      </c>
      <c r="D2" s="41"/>
      <c r="E2" s="41"/>
      <c r="F2" s="11"/>
    </row>
    <row r="3" spans="1:6" x14ac:dyDescent="0.15">
      <c r="A3" s="11"/>
      <c r="B3" s="11"/>
      <c r="C3" s="41" t="s">
        <v>67</v>
      </c>
      <c r="D3" s="41"/>
      <c r="E3" s="41"/>
      <c r="F3" s="11"/>
    </row>
    <row r="4" spans="1:6" ht="11.25" customHeight="1" x14ac:dyDescent="0.15">
      <c r="A4" s="11"/>
      <c r="B4" s="11"/>
      <c r="C4" s="12"/>
      <c r="D4" s="12"/>
      <c r="E4" s="12"/>
      <c r="F4" s="11"/>
    </row>
    <row r="5" spans="1:6" s="18" customFormat="1" ht="12.75" x14ac:dyDescent="0.15">
      <c r="A5" s="16"/>
      <c r="B5" s="42" t="s">
        <v>69</v>
      </c>
      <c r="C5" s="42"/>
      <c r="D5" s="42"/>
      <c r="E5" s="42"/>
      <c r="F5" s="16"/>
    </row>
    <row r="6" spans="1:6" x14ac:dyDescent="0.15">
      <c r="A6" s="11"/>
      <c r="B6" s="42" t="s">
        <v>70</v>
      </c>
      <c r="C6" s="42"/>
      <c r="D6" s="42"/>
      <c r="E6" s="42"/>
      <c r="F6" s="11"/>
    </row>
    <row r="7" spans="1:6" ht="15.75" customHeight="1" x14ac:dyDescent="0.15">
      <c r="A7" s="11"/>
      <c r="B7" s="11"/>
      <c r="C7" s="11"/>
      <c r="D7" s="11"/>
      <c r="E7" s="11"/>
      <c r="F7" s="11"/>
    </row>
    <row r="8" spans="1:6" x14ac:dyDescent="0.15">
      <c r="A8" s="11"/>
      <c r="B8" s="11" t="s">
        <v>73</v>
      </c>
      <c r="C8" s="11" t="s">
        <v>72</v>
      </c>
      <c r="D8" s="11"/>
      <c r="E8" s="11"/>
      <c r="F8" s="11"/>
    </row>
    <row r="9" spans="1:6" ht="6" customHeight="1" x14ac:dyDescent="0.15">
      <c r="A9" s="11"/>
      <c r="B9" s="11"/>
      <c r="C9" s="11"/>
      <c r="D9" s="11"/>
      <c r="E9" s="11"/>
      <c r="F9" s="11"/>
    </row>
    <row r="10" spans="1:6" x14ac:dyDescent="0.15">
      <c r="A10" s="11"/>
      <c r="B10" s="11"/>
      <c r="C10" s="21" t="s">
        <v>65</v>
      </c>
      <c r="D10" s="11"/>
      <c r="E10" s="11" t="s">
        <v>86</v>
      </c>
      <c r="F10" s="11"/>
    </row>
    <row r="11" spans="1:6" ht="6" customHeight="1" x14ac:dyDescent="0.15">
      <c r="A11" s="11"/>
      <c r="B11" s="11"/>
      <c r="C11" s="21"/>
      <c r="D11" s="11"/>
      <c r="E11" s="11"/>
      <c r="F11" s="11"/>
    </row>
    <row r="12" spans="1:6" s="19" customFormat="1" x14ac:dyDescent="0.15">
      <c r="A12" s="13"/>
      <c r="B12" s="13"/>
      <c r="C12" s="10" t="str">
        <f>IF('calc sheet'!J7=1,"targets are typically more than 80%","")</f>
        <v>targets are typically more than 80%</v>
      </c>
      <c r="D12" s="14"/>
      <c r="E12" s="13"/>
      <c r="F12" s="13"/>
    </row>
    <row r="13" spans="1:6" ht="15" customHeight="1" x14ac:dyDescent="0.15">
      <c r="A13" s="11"/>
      <c r="B13" s="11"/>
      <c r="C13" s="11"/>
      <c r="D13" s="11"/>
      <c r="E13" s="11"/>
      <c r="F13" s="11"/>
    </row>
    <row r="14" spans="1:6" x14ac:dyDescent="0.15">
      <c r="A14" s="11"/>
      <c r="B14" s="11" t="s">
        <v>74</v>
      </c>
      <c r="C14" s="11" t="s">
        <v>79</v>
      </c>
      <c r="D14" s="11"/>
      <c r="E14" s="11"/>
      <c r="F14" s="11"/>
    </row>
    <row r="15" spans="1:6" ht="6" customHeight="1" x14ac:dyDescent="0.15">
      <c r="A15" s="11"/>
      <c r="B15" s="11"/>
      <c r="C15" s="11"/>
      <c r="D15" s="11"/>
      <c r="E15" s="11"/>
      <c r="F15" s="11"/>
    </row>
    <row r="16" spans="1:6" x14ac:dyDescent="0.15">
      <c r="A16" s="11"/>
      <c r="B16" s="11"/>
      <c r="C16" s="21" t="s">
        <v>58</v>
      </c>
      <c r="D16" s="11"/>
      <c r="E16" s="11" t="s">
        <v>87</v>
      </c>
      <c r="F16" s="11"/>
    </row>
    <row r="17" spans="1:7" ht="6" customHeight="1" x14ac:dyDescent="0.15">
      <c r="A17" s="11"/>
      <c r="B17" s="11"/>
      <c r="C17" s="21"/>
      <c r="D17" s="11"/>
      <c r="E17" s="11"/>
      <c r="F17" s="11"/>
    </row>
    <row r="18" spans="1:7" x14ac:dyDescent="0.15">
      <c r="A18" s="11"/>
      <c r="B18" s="11"/>
      <c r="C18" s="10" t="str">
        <f>IF('calc sheet'!M7=1,"if unknown, use max daily evaporation as an estimate","")</f>
        <v>if unknown, use max daily evaporation as an estimate</v>
      </c>
      <c r="D18" s="11"/>
      <c r="E18" s="11"/>
      <c r="F18" s="11"/>
    </row>
    <row r="19" spans="1:7" x14ac:dyDescent="0.15">
      <c r="A19" s="11"/>
      <c r="B19" s="11"/>
      <c r="C19" s="10"/>
      <c r="D19" s="11"/>
      <c r="E19" s="11"/>
      <c r="F19" s="11"/>
    </row>
    <row r="20" spans="1:7" ht="15.75" x14ac:dyDescent="0.15">
      <c r="A20" s="11"/>
      <c r="B20" s="11" t="s">
        <v>75</v>
      </c>
      <c r="C20" s="11" t="s">
        <v>83</v>
      </c>
      <c r="D20" s="11"/>
      <c r="E20" s="11"/>
      <c r="F20" s="11"/>
    </row>
    <row r="21" spans="1:7" ht="6" customHeight="1" thickBot="1" x14ac:dyDescent="0.2">
      <c r="A21" s="11"/>
      <c r="B21" s="11"/>
      <c r="C21" s="11"/>
      <c r="D21" s="11"/>
      <c r="E21" s="11"/>
      <c r="F21" s="11"/>
    </row>
    <row r="22" spans="1:7" ht="16.5" thickBot="1" x14ac:dyDescent="0.2">
      <c r="A22" s="11"/>
      <c r="B22" s="11"/>
      <c r="C22" s="21" t="s">
        <v>84</v>
      </c>
      <c r="D22" s="39"/>
      <c r="E22" s="11" t="s">
        <v>88</v>
      </c>
      <c r="F22" s="11"/>
      <c r="G22" s="38"/>
    </row>
    <row r="23" spans="1:7" x14ac:dyDescent="0.15">
      <c r="A23" s="11"/>
      <c r="B23" s="11"/>
      <c r="C23" s="11"/>
      <c r="D23" s="15"/>
      <c r="E23" s="11"/>
      <c r="F23" s="11"/>
    </row>
    <row r="24" spans="1:7" x14ac:dyDescent="0.15">
      <c r="A24" s="11"/>
      <c r="B24" s="11" t="s">
        <v>76</v>
      </c>
      <c r="C24" s="11" t="s">
        <v>80</v>
      </c>
      <c r="D24" s="11"/>
      <c r="E24" s="11"/>
      <c r="F24" s="11"/>
    </row>
    <row r="25" spans="1:7" ht="6" customHeight="1" x14ac:dyDescent="0.15">
      <c r="A25" s="11"/>
      <c r="B25" s="11"/>
      <c r="C25" s="11"/>
      <c r="D25" s="11"/>
      <c r="E25" s="11"/>
      <c r="F25" s="11"/>
    </row>
    <row r="26" spans="1:7" x14ac:dyDescent="0.15">
      <c r="A26" s="11"/>
      <c r="B26" s="11"/>
      <c r="C26" s="21" t="s">
        <v>59</v>
      </c>
      <c r="D26" s="11"/>
      <c r="E26" s="11" t="s">
        <v>86</v>
      </c>
      <c r="F26" s="11"/>
    </row>
    <row r="27" spans="1:7" ht="6" customHeight="1" x14ac:dyDescent="0.15">
      <c r="A27" s="11"/>
      <c r="B27" s="11"/>
      <c r="C27" s="11"/>
      <c r="D27" s="11"/>
      <c r="E27" s="11"/>
      <c r="F27" s="11"/>
    </row>
    <row r="28" spans="1:7" s="19" customFormat="1" x14ac:dyDescent="0.15">
      <c r="A28" s="13"/>
      <c r="B28" s="13"/>
      <c r="C28" s="10" t="str">
        <f>IF('calc sheet'!M30=1,"typical values range from 40% to 80%","")</f>
        <v>typical values range from 40% to 80%</v>
      </c>
      <c r="D28" s="14"/>
      <c r="E28" s="13"/>
      <c r="F28" s="13"/>
    </row>
    <row r="29" spans="1:7" x14ac:dyDescent="0.15">
      <c r="A29" s="11"/>
      <c r="B29" s="11"/>
      <c r="C29" s="11"/>
      <c r="D29" s="11"/>
      <c r="E29" s="11"/>
      <c r="F29" s="11"/>
    </row>
    <row r="30" spans="1:7" x14ac:dyDescent="0.15">
      <c r="A30" s="11"/>
      <c r="B30" s="11" t="s">
        <v>77</v>
      </c>
      <c r="C30" s="11" t="s">
        <v>82</v>
      </c>
      <c r="D30" s="11"/>
      <c r="E30" s="11"/>
      <c r="F30" s="15"/>
    </row>
    <row r="31" spans="1:7" ht="6" customHeight="1" x14ac:dyDescent="0.15">
      <c r="A31" s="11"/>
      <c r="B31" s="11"/>
      <c r="C31" s="11"/>
      <c r="D31" s="11"/>
      <c r="E31" s="11"/>
      <c r="F31" s="15"/>
    </row>
    <row r="32" spans="1:7" x14ac:dyDescent="0.15">
      <c r="A32" s="11"/>
      <c r="B32" s="11"/>
      <c r="C32" s="21" t="s">
        <v>62</v>
      </c>
      <c r="D32" s="11"/>
      <c r="E32" s="11" t="s">
        <v>89</v>
      </c>
      <c r="F32" s="11"/>
    </row>
    <row r="33" spans="1:6" ht="6" customHeight="1" x14ac:dyDescent="0.15">
      <c r="A33" s="11"/>
      <c r="B33" s="11"/>
      <c r="C33" s="11"/>
      <c r="D33" s="11"/>
      <c r="E33" s="11"/>
      <c r="F33" s="11"/>
    </row>
    <row r="34" spans="1:6" s="19" customFormat="1" x14ac:dyDescent="0.15">
      <c r="A34" s="13"/>
      <c r="B34" s="13"/>
      <c r="C34" s="36" t="str">
        <f>IF('calc sheet'!P7=1,"typical depths range from 0.4 to 0.5 metres","")</f>
        <v>typical depths range from 0.4 to 0.5 metres</v>
      </c>
      <c r="D34" s="14"/>
      <c r="E34" s="37" t="str">
        <f>IF('calc sheet'!P7&gt;1,"do not forget freeboard","")</f>
        <v/>
      </c>
      <c r="F34" s="13"/>
    </row>
    <row r="35" spans="1:6" s="19" customFormat="1" x14ac:dyDescent="0.15">
      <c r="A35" s="13"/>
      <c r="B35" s="13"/>
      <c r="C35" s="10"/>
      <c r="D35" s="14"/>
      <c r="E35" s="13"/>
      <c r="F35" s="13"/>
    </row>
    <row r="36" spans="1:6" s="19" customFormat="1" x14ac:dyDescent="0.15">
      <c r="A36" s="13"/>
      <c r="B36" s="13" t="s">
        <v>78</v>
      </c>
      <c r="C36" s="13" t="s">
        <v>100</v>
      </c>
      <c r="D36" s="14"/>
      <c r="E36" s="13"/>
      <c r="F36" s="13"/>
    </row>
    <row r="37" spans="1:6" s="19" customFormat="1" x14ac:dyDescent="0.15">
      <c r="A37" s="13"/>
      <c r="B37" s="13"/>
      <c r="C37" s="10"/>
      <c r="D37" s="14"/>
      <c r="E37" s="13"/>
      <c r="F37" s="13"/>
    </row>
    <row r="38" spans="1:6" ht="6.75" customHeight="1" x14ac:dyDescent="0.15">
      <c r="A38" s="11"/>
      <c r="B38" s="11"/>
      <c r="C38" s="11"/>
      <c r="D38" s="11"/>
      <c r="E38" s="11"/>
      <c r="F38" s="11"/>
    </row>
    <row r="39" spans="1:6" x14ac:dyDescent="0.15">
      <c r="A39" s="11"/>
      <c r="B39" s="11" t="s">
        <v>101</v>
      </c>
      <c r="C39" s="11" t="s">
        <v>81</v>
      </c>
      <c r="D39" s="11"/>
      <c r="E39" s="11"/>
      <c r="F39" s="11"/>
    </row>
    <row r="40" spans="1:6" ht="6" customHeight="1" x14ac:dyDescent="0.15">
      <c r="A40" s="11"/>
      <c r="B40" s="11"/>
      <c r="C40" s="11"/>
      <c r="D40" s="11"/>
      <c r="E40" s="11"/>
      <c r="F40" s="11"/>
    </row>
    <row r="41" spans="1:6" x14ac:dyDescent="0.15">
      <c r="A41" s="11"/>
      <c r="B41" s="11"/>
      <c r="C41" s="21" t="s">
        <v>66</v>
      </c>
      <c r="D41" s="11"/>
      <c r="E41" s="11" t="s">
        <v>54</v>
      </c>
      <c r="F41" s="11"/>
    </row>
    <row r="42" spans="1:6" ht="6" customHeight="1" x14ac:dyDescent="0.15">
      <c r="A42" s="11"/>
      <c r="B42" s="11"/>
      <c r="C42" s="11"/>
      <c r="D42" s="11"/>
      <c r="E42" s="11"/>
      <c r="F42" s="11"/>
    </row>
    <row r="43" spans="1:6" s="19" customFormat="1" ht="18" customHeight="1" x14ac:dyDescent="0.15">
      <c r="A43" s="13"/>
      <c r="B43" s="13"/>
      <c r="C43" s="10" t="str">
        <f>IF('calc sheet'!P23=1,"guidelines to determine porosity are in the reference, otherwise try 30 - 45%","")</f>
        <v>guidelines to determine porosity are in the reference, otherwise try 30 - 45%</v>
      </c>
      <c r="D43" s="14"/>
      <c r="E43" s="13"/>
      <c r="F43" s="13"/>
    </row>
    <row r="44" spans="1:6" s="19" customFormat="1" ht="8.25" customHeight="1" thickBot="1" x14ac:dyDescent="0.2">
      <c r="A44" s="31"/>
      <c r="B44" s="31"/>
      <c r="C44" s="34"/>
      <c r="D44" s="33"/>
      <c r="E44" s="31"/>
      <c r="F44" s="31"/>
    </row>
    <row r="45" spans="1:6" s="19" customFormat="1" ht="6.75" customHeight="1" x14ac:dyDescent="0.15">
      <c r="A45" s="32"/>
      <c r="B45" s="35"/>
      <c r="C45" s="13"/>
      <c r="D45" s="14"/>
      <c r="E45" s="32"/>
      <c r="F45" s="32"/>
    </row>
    <row r="46" spans="1:6" s="19" customFormat="1" ht="18" customHeight="1" x14ac:dyDescent="0.15">
      <c r="A46" s="13"/>
      <c r="B46" s="13"/>
      <c r="C46" s="20" t="s">
        <v>71</v>
      </c>
      <c r="D46" s="14"/>
      <c r="E46" s="13"/>
      <c r="F46" s="13"/>
    </row>
    <row r="47" spans="1:6" ht="6" customHeight="1" x14ac:dyDescent="0.15">
      <c r="A47" s="11"/>
      <c r="B47" s="11"/>
      <c r="C47" s="11"/>
      <c r="D47" s="11"/>
      <c r="E47" s="11"/>
      <c r="F47" s="11"/>
    </row>
    <row r="48" spans="1:6" x14ac:dyDescent="0.15">
      <c r="A48" s="11"/>
      <c r="B48" s="11"/>
      <c r="C48" s="24" t="s">
        <v>98</v>
      </c>
      <c r="D48" s="30" t="e">
        <f>IF(AND('calc sheet'!C65&gt;0.9999,'calc sheet'!C65&lt;2.9999),'calc sheet'!C65,"not suitable")</f>
        <v>#VALUE!</v>
      </c>
      <c r="E48" s="11"/>
      <c r="F48" s="11"/>
    </row>
    <row r="49" spans="1:6" ht="6" customHeight="1" x14ac:dyDescent="0.15">
      <c r="A49" s="11"/>
      <c r="B49" s="11"/>
      <c r="C49" s="11"/>
      <c r="D49" s="11"/>
      <c r="E49" s="11"/>
      <c r="F49" s="11"/>
    </row>
    <row r="50" spans="1:6" x14ac:dyDescent="0.15">
      <c r="A50" s="11"/>
      <c r="B50" s="11"/>
      <c r="C50" s="40" t="e">
        <f>IF(D48="not suitable","WARNING: hydraulic overload of substrate may occur. Modify","")</f>
        <v>#VALUE!</v>
      </c>
      <c r="D50" s="40"/>
      <c r="E50" s="40"/>
      <c r="F50" s="11"/>
    </row>
    <row r="51" spans="1:6" x14ac:dyDescent="0.15">
      <c r="A51" s="11"/>
      <c r="B51" s="11"/>
      <c r="C51" s="40" t="e">
        <f>IF(C50="WARNING: hydraulic overload of substrate may occur. Modify","dimensions to achieve a length to width ratio between 1 and 3","")</f>
        <v>#VALUE!</v>
      </c>
      <c r="D51" s="40"/>
      <c r="E51" s="40"/>
      <c r="F51" s="11"/>
    </row>
    <row r="52" spans="1:6" x14ac:dyDescent="0.15">
      <c r="A52" s="11"/>
      <c r="B52" s="11"/>
      <c r="C52" s="40" t="e">
        <f>IF(C51="dimensions to achieve a length to width ratio between 1 and 3","or split the reed bed into two or more beds.","")</f>
        <v>#VALUE!</v>
      </c>
      <c r="D52" s="40"/>
      <c r="E52" s="40"/>
      <c r="F52" s="11"/>
    </row>
    <row r="53" spans="1:6" ht="7.5" customHeight="1" x14ac:dyDescent="0.15">
      <c r="A53" s="11"/>
      <c r="B53" s="11"/>
      <c r="C53" s="11"/>
      <c r="D53" s="11"/>
      <c r="E53" s="11"/>
      <c r="F53" s="11"/>
    </row>
    <row r="54" spans="1:6" ht="17.45" customHeight="1" x14ac:dyDescent="0.15">
      <c r="A54" s="11"/>
      <c r="B54" s="11"/>
      <c r="C54" s="24" t="s">
        <v>93</v>
      </c>
      <c r="D54" s="29" t="e">
        <f>'calc sheet'!C32</f>
        <v>#VALUE!</v>
      </c>
      <c r="E54" s="20" t="s">
        <v>105</v>
      </c>
      <c r="F54" s="11"/>
    </row>
    <row r="55" spans="1:6" ht="17.45" customHeight="1" x14ac:dyDescent="0.15">
      <c r="A55" s="11"/>
      <c r="B55" s="11"/>
      <c r="C55" s="24" t="s">
        <v>92</v>
      </c>
      <c r="D55" s="25" t="e">
        <f>'calc sheet'!C59</f>
        <v>#VALUE!</v>
      </c>
      <c r="E55" s="20" t="s">
        <v>63</v>
      </c>
      <c r="F55" s="11"/>
    </row>
    <row r="56" spans="1:6" ht="17.45" customHeight="1" x14ac:dyDescent="0.15">
      <c r="A56" s="11"/>
      <c r="B56" s="11"/>
      <c r="C56" s="24" t="s">
        <v>91</v>
      </c>
      <c r="D56" s="29" t="e">
        <f>'calc sheet'!D42</f>
        <v>#VALUE!</v>
      </c>
      <c r="E56" s="20" t="s">
        <v>106</v>
      </c>
      <c r="F56" s="11"/>
    </row>
    <row r="57" spans="1:6" ht="17.45" customHeight="1" x14ac:dyDescent="0.15">
      <c r="A57" s="11"/>
      <c r="B57" s="11"/>
      <c r="C57" s="24" t="s">
        <v>99</v>
      </c>
      <c r="D57" s="25" t="e">
        <f>'calc sheet'!C64</f>
        <v>#VALUE!</v>
      </c>
      <c r="E57" s="20" t="s">
        <v>63</v>
      </c>
      <c r="F57" s="11"/>
    </row>
    <row r="58" spans="1:6" ht="8.25" customHeight="1" x14ac:dyDescent="0.15">
      <c r="A58" s="11"/>
      <c r="B58" s="11"/>
      <c r="C58" s="24"/>
      <c r="D58" s="26"/>
      <c r="E58" s="20"/>
      <c r="F58" s="11"/>
    </row>
    <row r="59" spans="1:6" ht="17.45" customHeight="1" x14ac:dyDescent="0.15">
      <c r="A59" s="11"/>
      <c r="B59" s="11"/>
      <c r="C59" s="24" t="s">
        <v>85</v>
      </c>
      <c r="D59" s="27">
        <f>'calc sheet'!H8</f>
        <v>0</v>
      </c>
      <c r="E59" s="28" t="s">
        <v>32</v>
      </c>
      <c r="F59" s="11"/>
    </row>
    <row r="60" spans="1:6" ht="17.45" customHeight="1" x14ac:dyDescent="0.15">
      <c r="A60" s="11"/>
      <c r="B60" s="11"/>
      <c r="C60" s="24" t="s">
        <v>90</v>
      </c>
      <c r="D60" s="29" t="e">
        <f>'calc sheet'!M8*'answer sheet'!D22*'calc sheet'!M32</f>
        <v>#VALUE!</v>
      </c>
      <c r="E60" s="20" t="s">
        <v>61</v>
      </c>
      <c r="F60" s="11"/>
    </row>
    <row r="61" spans="1:6" ht="10.5" customHeight="1" x14ac:dyDescent="0.15">
      <c r="A61" s="11"/>
      <c r="B61" s="11"/>
      <c r="C61" s="11"/>
      <c r="D61" s="11"/>
      <c r="E61" s="11"/>
      <c r="F61" s="11"/>
    </row>
  </sheetData>
  <sheetProtection password="CCE6" sheet="1" objects="1" scenarios="1" selectLockedCells="1"/>
  <mergeCells count="7">
    <mergeCell ref="C50:E50"/>
    <mergeCell ref="C51:E51"/>
    <mergeCell ref="C52:E52"/>
    <mergeCell ref="C2:E2"/>
    <mergeCell ref="C3:E3"/>
    <mergeCell ref="B5:E5"/>
    <mergeCell ref="B6:E6"/>
  </mergeCells>
  <phoneticPr fontId="0" type="noConversion"/>
  <pageMargins left="0.37" right="0.19" top="0.63" bottom="0.39" header="0.51181102362204722" footer="0.28000000000000003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847725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847725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847725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3</xdr:col>
                    <xdr:colOff>0</xdr:colOff>
                    <xdr:row>31</xdr:row>
                    <xdr:rowOff>9525</xdr:rowOff>
                  </from>
                  <to>
                    <xdr:col>3</xdr:col>
                    <xdr:colOff>847725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2</xdr:col>
                    <xdr:colOff>3152775</xdr:colOff>
                    <xdr:row>40</xdr:row>
                    <xdr:rowOff>0</xdr:rowOff>
                  </from>
                  <to>
                    <xdr:col>3</xdr:col>
                    <xdr:colOff>838200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3</xdr:col>
                    <xdr:colOff>0</xdr:colOff>
                    <xdr:row>34</xdr:row>
                    <xdr:rowOff>171450</xdr:rowOff>
                  </from>
                  <to>
                    <xdr:col>3</xdr:col>
                    <xdr:colOff>847725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P65"/>
  <sheetViews>
    <sheetView topLeftCell="A19" workbookViewId="0">
      <selection activeCell="C58" sqref="C58"/>
    </sheetView>
  </sheetViews>
  <sheetFormatPr defaultColWidth="8.74609375" defaultRowHeight="10.5" x14ac:dyDescent="0.1"/>
  <cols>
    <col min="1" max="1" width="2.45703125" style="1" customWidth="1"/>
    <col min="2" max="2" width="30.57421875" style="1" bestFit="1" customWidth="1"/>
    <col min="3" max="3" width="7.9609375" style="1" customWidth="1"/>
    <col min="4" max="4" width="5.796875" style="2" customWidth="1"/>
    <col min="5" max="5" width="8.05859375" style="1" bestFit="1" customWidth="1"/>
    <col min="6" max="6" width="6.19140625" style="1" bestFit="1" customWidth="1"/>
    <col min="7" max="7" width="8.74609375" style="1"/>
    <col min="8" max="8" width="3.2421875" style="1" bestFit="1" customWidth="1"/>
    <col min="9" max="9" width="4.02734375" style="3" customWidth="1"/>
    <col min="10" max="10" width="3.5390625" style="1" bestFit="1" customWidth="1"/>
    <col min="11" max="11" width="5.109375" style="1" customWidth="1"/>
    <col min="12" max="13" width="7.37109375" style="1" customWidth="1"/>
    <col min="14" max="14" width="3.63671875" style="1" customWidth="1"/>
    <col min="15" max="16384" width="8.74609375" style="1"/>
  </cols>
  <sheetData>
    <row r="1" spans="1:16" x14ac:dyDescent="0.1">
      <c r="A1" s="1">
        <v>1</v>
      </c>
      <c r="B1" s="1" t="s">
        <v>18</v>
      </c>
    </row>
    <row r="3" spans="1:16" x14ac:dyDescent="0.1">
      <c r="B3" s="1" t="s">
        <v>31</v>
      </c>
      <c r="C3" s="1" t="s">
        <v>32</v>
      </c>
      <c r="D3" s="2" t="s">
        <v>33</v>
      </c>
    </row>
    <row r="4" spans="1:16" x14ac:dyDescent="0.1">
      <c r="B4" s="1" t="s">
        <v>36</v>
      </c>
      <c r="C4" s="1" t="s">
        <v>37</v>
      </c>
      <c r="D4" s="2" t="s">
        <v>38</v>
      </c>
    </row>
    <row r="5" spans="1:16" ht="16.5" customHeight="1" x14ac:dyDescent="0.1"/>
    <row r="6" spans="1:16" x14ac:dyDescent="0.1">
      <c r="B6" s="4" t="s">
        <v>34</v>
      </c>
      <c r="C6" s="1" t="s">
        <v>35</v>
      </c>
      <c r="L6" s="43" t="s">
        <v>57</v>
      </c>
      <c r="M6" s="43"/>
      <c r="O6" s="1" t="s">
        <v>62</v>
      </c>
    </row>
    <row r="7" spans="1:16" x14ac:dyDescent="0.1">
      <c r="B7" s="4" t="s">
        <v>34</v>
      </c>
      <c r="C7" s="5">
        <f>(LN((1-E7)))/-0.5237</f>
        <v>5.7203213166965625</v>
      </c>
      <c r="D7" s="2" t="s">
        <v>32</v>
      </c>
      <c r="E7" s="5">
        <v>0.95</v>
      </c>
      <c r="F7" s="1" t="s">
        <v>48</v>
      </c>
      <c r="I7" s="3" t="s">
        <v>64</v>
      </c>
      <c r="J7" s="1">
        <v>1</v>
      </c>
      <c r="L7" s="1" t="s">
        <v>64</v>
      </c>
      <c r="M7" s="1">
        <v>1</v>
      </c>
      <c r="O7" s="1" t="s">
        <v>64</v>
      </c>
      <c r="P7" s="1">
        <v>1</v>
      </c>
    </row>
    <row r="8" spans="1:16" x14ac:dyDescent="0.1">
      <c r="C8" s="5">
        <f>(LN((1-E8)))/-0.5237</f>
        <v>4.3967635917396324</v>
      </c>
      <c r="D8" s="2" t="s">
        <v>32</v>
      </c>
      <c r="E8" s="5">
        <v>0.9</v>
      </c>
      <c r="F8" s="1" t="s">
        <v>39</v>
      </c>
      <c r="H8" s="5">
        <f>(LN((1-J8)))/-0.5237</f>
        <v>0</v>
      </c>
      <c r="I8" s="3">
        <v>95</v>
      </c>
      <c r="J8" s="1">
        <f>INDEX(E6:E20,J7)</f>
        <v>0</v>
      </c>
      <c r="L8" s="1">
        <v>2</v>
      </c>
      <c r="M8" s="6" t="str">
        <f>INDEX(L7:L21,M7)</f>
        <v>please select</v>
      </c>
      <c r="O8" s="1">
        <v>0.2</v>
      </c>
      <c r="P8" s="6" t="str">
        <f>INDEX(O7:O13,P7)</f>
        <v>please select</v>
      </c>
    </row>
    <row r="9" spans="1:16" x14ac:dyDescent="0.1">
      <c r="C9" s="5">
        <f>(LN((1-E9)))/-0.5237</f>
        <v>3.6225319551000208</v>
      </c>
      <c r="D9" s="2" t="s">
        <v>32</v>
      </c>
      <c r="E9" s="5">
        <v>0.85</v>
      </c>
      <c r="F9" s="1" t="s">
        <v>40</v>
      </c>
      <c r="I9" s="3">
        <v>90</v>
      </c>
      <c r="L9" s="1">
        <v>3</v>
      </c>
      <c r="O9" s="1">
        <v>0.3</v>
      </c>
    </row>
    <row r="10" spans="1:16" x14ac:dyDescent="0.1">
      <c r="C10" s="5">
        <f>(LN((1-E10)))/-0.5237</f>
        <v>3.0732058667827005</v>
      </c>
      <c r="D10" s="2" t="s">
        <v>32</v>
      </c>
      <c r="E10" s="5">
        <v>0.8</v>
      </c>
      <c r="F10" s="1" t="s">
        <v>41</v>
      </c>
      <c r="G10" s="5"/>
      <c r="I10" s="3">
        <v>85</v>
      </c>
      <c r="L10" s="1">
        <v>4</v>
      </c>
      <c r="O10" s="1">
        <v>0.4</v>
      </c>
    </row>
    <row r="11" spans="1:16" x14ac:dyDescent="0.1">
      <c r="C11" s="5">
        <f t="shared" ref="C11:C20" si="0">(LN((1-E11)))/-0.5237</f>
        <v>2.6471154499138638</v>
      </c>
      <c r="D11" s="2" t="s">
        <v>32</v>
      </c>
      <c r="E11" s="5">
        <v>0.75</v>
      </c>
      <c r="F11" s="1" t="s">
        <v>42</v>
      </c>
      <c r="I11" s="3">
        <v>80</v>
      </c>
      <c r="L11" s="1">
        <v>5</v>
      </c>
      <c r="O11" s="1">
        <v>0.5</v>
      </c>
    </row>
    <row r="12" spans="1:16" x14ac:dyDescent="0.1">
      <c r="C12" s="5">
        <f t="shared" si="0"/>
        <v>2.2989742301430893</v>
      </c>
      <c r="D12" s="2" t="s">
        <v>32</v>
      </c>
      <c r="E12" s="5">
        <v>0.7</v>
      </c>
      <c r="F12" s="1" t="s">
        <v>43</v>
      </c>
      <c r="I12" s="3">
        <v>75</v>
      </c>
      <c r="L12" s="1">
        <v>6</v>
      </c>
      <c r="O12" s="1">
        <v>0.6</v>
      </c>
    </row>
    <row r="13" spans="1:16" x14ac:dyDescent="0.1">
      <c r="C13" s="5">
        <f t="shared" si="0"/>
        <v>2.0046250229113571</v>
      </c>
      <c r="D13" s="2" t="s">
        <v>32</v>
      </c>
      <c r="E13" s="5">
        <v>0.65</v>
      </c>
      <c r="F13" s="1" t="s">
        <v>44</v>
      </c>
      <c r="H13" s="5"/>
      <c r="I13" s="3">
        <v>70</v>
      </c>
      <c r="L13" s="1">
        <v>7</v>
      </c>
      <c r="O13" s="1">
        <v>0.7</v>
      </c>
    </row>
    <row r="14" spans="1:16" x14ac:dyDescent="0.1">
      <c r="C14" s="5">
        <f t="shared" si="0"/>
        <v>1.7496481418257683</v>
      </c>
      <c r="D14" s="2" t="s">
        <v>32</v>
      </c>
      <c r="E14" s="5">
        <v>0.6</v>
      </c>
      <c r="F14" s="1" t="s">
        <v>45</v>
      </c>
      <c r="I14" s="3">
        <v>65</v>
      </c>
      <c r="L14" s="1">
        <v>8</v>
      </c>
      <c r="O14" s="1">
        <v>0.75</v>
      </c>
    </row>
    <row r="15" spans="1:16" x14ac:dyDescent="0.1">
      <c r="C15" s="5">
        <f t="shared" si="0"/>
        <v>1.5247425935034784</v>
      </c>
      <c r="D15" s="2" t="s">
        <v>32</v>
      </c>
      <c r="E15" s="5">
        <v>0.55000000000000004</v>
      </c>
      <c r="F15" s="1" t="s">
        <v>46</v>
      </c>
      <c r="I15" s="3">
        <v>60</v>
      </c>
      <c r="L15" s="1">
        <v>9</v>
      </c>
    </row>
    <row r="16" spans="1:16" x14ac:dyDescent="0.1">
      <c r="C16" s="5">
        <f t="shared" si="0"/>
        <v>1.3235577249569319</v>
      </c>
      <c r="D16" s="2" t="s">
        <v>32</v>
      </c>
      <c r="E16" s="5">
        <v>0.5</v>
      </c>
      <c r="F16" s="1" t="s">
        <v>47</v>
      </c>
      <c r="I16" s="3">
        <v>55</v>
      </c>
      <c r="L16" s="1">
        <v>10</v>
      </c>
    </row>
    <row r="17" spans="1:16" x14ac:dyDescent="0.1">
      <c r="C17" s="5">
        <f t="shared" si="0"/>
        <v>1.1415638738889102</v>
      </c>
      <c r="D17" s="2" t="s">
        <v>32</v>
      </c>
      <c r="E17" s="5">
        <v>0.45000000000000101</v>
      </c>
      <c r="H17" s="5"/>
      <c r="I17" s="3">
        <v>50</v>
      </c>
      <c r="L17" s="1">
        <v>11</v>
      </c>
    </row>
    <row r="18" spans="1:16" x14ac:dyDescent="0.1">
      <c r="C18" s="5">
        <f t="shared" si="0"/>
        <v>0.97541650518616063</v>
      </c>
      <c r="D18" s="2" t="s">
        <v>32</v>
      </c>
      <c r="E18" s="5">
        <v>0.40000000000000102</v>
      </c>
      <c r="I18" s="3">
        <v>45</v>
      </c>
      <c r="L18" s="1">
        <v>12</v>
      </c>
    </row>
    <row r="19" spans="1:16" x14ac:dyDescent="0.1">
      <c r="C19" s="5">
        <f t="shared" si="0"/>
        <v>0.82257574201347283</v>
      </c>
      <c r="D19" s="2" t="s">
        <v>32</v>
      </c>
      <c r="E19" s="5">
        <v>0.35000000000000098</v>
      </c>
      <c r="I19" s="3">
        <v>40</v>
      </c>
      <c r="L19" s="1">
        <v>13</v>
      </c>
    </row>
    <row r="20" spans="1:16" x14ac:dyDescent="0.1">
      <c r="C20" s="5">
        <f t="shared" si="0"/>
        <v>0.68106729795442511</v>
      </c>
      <c r="D20" s="2" t="s">
        <v>32</v>
      </c>
      <c r="E20" s="5">
        <v>0.3</v>
      </c>
      <c r="I20" s="3">
        <v>35</v>
      </c>
      <c r="L20" s="1">
        <v>14</v>
      </c>
    </row>
    <row r="21" spans="1:16" x14ac:dyDescent="0.1">
      <c r="I21" s="3">
        <v>30</v>
      </c>
      <c r="L21" s="1">
        <v>15</v>
      </c>
    </row>
    <row r="22" spans="1:16" x14ac:dyDescent="0.1">
      <c r="O22" s="1" t="s">
        <v>66</v>
      </c>
    </row>
    <row r="23" spans="1:16" x14ac:dyDescent="0.1">
      <c r="O23" s="1" t="s">
        <v>64</v>
      </c>
      <c r="P23" s="1">
        <v>1</v>
      </c>
    </row>
    <row r="24" spans="1:16" x14ac:dyDescent="0.1">
      <c r="A24" s="1">
        <v>2</v>
      </c>
      <c r="B24" s="1" t="s">
        <v>19</v>
      </c>
      <c r="O24" s="1">
        <v>20</v>
      </c>
      <c r="P24" s="1" t="str">
        <f>INDEX(O23:O31,P23)</f>
        <v>please select</v>
      </c>
    </row>
    <row r="25" spans="1:16" x14ac:dyDescent="0.1">
      <c r="O25" s="1">
        <v>25</v>
      </c>
    </row>
    <row r="26" spans="1:16" x14ac:dyDescent="0.1">
      <c r="B26" s="1" t="s">
        <v>50</v>
      </c>
      <c r="C26" s="1" t="s">
        <v>49</v>
      </c>
      <c r="O26" s="1">
        <v>30</v>
      </c>
    </row>
    <row r="27" spans="1:16" x14ac:dyDescent="0.1">
      <c r="O27" s="1">
        <v>35</v>
      </c>
    </row>
    <row r="28" spans="1:16" x14ac:dyDescent="0.1">
      <c r="B28" s="1" t="s">
        <v>52</v>
      </c>
      <c r="C28" s="1" t="s">
        <v>28</v>
      </c>
      <c r="D28" s="2" t="s">
        <v>51</v>
      </c>
      <c r="E28" s="7" t="e">
        <f>'answer sheet'!D60/1000</f>
        <v>#VALUE!</v>
      </c>
      <c r="O28" s="1">
        <v>40</v>
      </c>
    </row>
    <row r="29" spans="1:16" x14ac:dyDescent="0.1">
      <c r="B29" s="1" t="s">
        <v>56</v>
      </c>
      <c r="C29" s="1" t="s">
        <v>32</v>
      </c>
      <c r="D29" s="2" t="s">
        <v>33</v>
      </c>
      <c r="E29" s="22">
        <f>H8</f>
        <v>0</v>
      </c>
      <c r="L29" s="1" t="s">
        <v>60</v>
      </c>
      <c r="O29" s="1">
        <v>45</v>
      </c>
    </row>
    <row r="30" spans="1:16" x14ac:dyDescent="0.1">
      <c r="B30" s="1" t="s">
        <v>53</v>
      </c>
      <c r="C30" s="1" t="s">
        <v>54</v>
      </c>
      <c r="D30" s="2" t="s">
        <v>55</v>
      </c>
      <c r="E30" s="1" t="str">
        <f>P24</f>
        <v>please select</v>
      </c>
      <c r="F30" s="1" t="str">
        <f>P24</f>
        <v>please select</v>
      </c>
      <c r="L30" s="1" t="s">
        <v>64</v>
      </c>
      <c r="M30" s="1">
        <v>1</v>
      </c>
      <c r="O30" s="1">
        <v>50</v>
      </c>
    </row>
    <row r="31" spans="1:16" x14ac:dyDescent="0.1">
      <c r="L31" s="1">
        <v>10</v>
      </c>
      <c r="M31" s="1" t="str">
        <f>INDEX(L30:L46,M30)</f>
        <v>please select</v>
      </c>
      <c r="O31" s="1">
        <v>55</v>
      </c>
    </row>
    <row r="32" spans="1:16" x14ac:dyDescent="0.1">
      <c r="B32" s="4" t="s">
        <v>50</v>
      </c>
      <c r="C32" s="1" t="e">
        <f>(E28*E29*100)/E30</f>
        <v>#VALUE!</v>
      </c>
      <c r="D32" s="2" t="s">
        <v>28</v>
      </c>
      <c r="L32" s="1">
        <v>20</v>
      </c>
      <c r="M32" s="1" t="e">
        <f>M31/100</f>
        <v>#VALUE!</v>
      </c>
    </row>
    <row r="33" spans="1:12" x14ac:dyDescent="0.1">
      <c r="L33" s="1">
        <v>25</v>
      </c>
    </row>
    <row r="34" spans="1:12" x14ac:dyDescent="0.1">
      <c r="A34" s="1">
        <v>3</v>
      </c>
      <c r="B34" s="1" t="s">
        <v>20</v>
      </c>
      <c r="L34" s="1">
        <v>30</v>
      </c>
    </row>
    <row r="35" spans="1:12" x14ac:dyDescent="0.1">
      <c r="L35" s="1">
        <v>35</v>
      </c>
    </row>
    <row r="36" spans="1:12" x14ac:dyDescent="0.1">
      <c r="B36" s="1" t="s">
        <v>21</v>
      </c>
      <c r="C36" s="1" t="s">
        <v>22</v>
      </c>
      <c r="L36" s="1">
        <v>40</v>
      </c>
    </row>
    <row r="37" spans="1:12" x14ac:dyDescent="0.1">
      <c r="L37" s="1">
        <v>45</v>
      </c>
    </row>
    <row r="38" spans="1:12" x14ac:dyDescent="0.1">
      <c r="B38" s="1" t="s">
        <v>9</v>
      </c>
      <c r="C38" s="1" t="s">
        <v>6</v>
      </c>
      <c r="D38" s="1" t="s">
        <v>10</v>
      </c>
      <c r="E38" s="1" t="s">
        <v>24</v>
      </c>
      <c r="L38" s="1">
        <v>50</v>
      </c>
    </row>
    <row r="39" spans="1:12" x14ac:dyDescent="0.1">
      <c r="B39" s="1" t="s">
        <v>27</v>
      </c>
      <c r="C39" s="1" t="s">
        <v>28</v>
      </c>
      <c r="D39" s="2" t="s">
        <v>29</v>
      </c>
      <c r="E39" s="1" t="e">
        <f>C32</f>
        <v>#VALUE!</v>
      </c>
      <c r="L39" s="1">
        <v>55</v>
      </c>
    </row>
    <row r="40" spans="1:12" x14ac:dyDescent="0.1">
      <c r="B40" s="1" t="s">
        <v>26</v>
      </c>
      <c r="C40" s="1" t="s">
        <v>4</v>
      </c>
      <c r="D40" s="2" t="s">
        <v>1</v>
      </c>
      <c r="E40" s="7" t="str">
        <f>P8</f>
        <v>please select</v>
      </c>
      <c r="L40" s="1">
        <v>60</v>
      </c>
    </row>
    <row r="41" spans="1:12" x14ac:dyDescent="0.1">
      <c r="E41" s="8"/>
      <c r="L41" s="1">
        <v>65</v>
      </c>
    </row>
    <row r="42" spans="1:12" x14ac:dyDescent="0.1">
      <c r="B42" s="4" t="s">
        <v>30</v>
      </c>
      <c r="C42" s="1" t="s">
        <v>6</v>
      </c>
      <c r="D42" s="2" t="e">
        <f>E39/E40</f>
        <v>#VALUE!</v>
      </c>
      <c r="L42" s="1">
        <v>70</v>
      </c>
    </row>
    <row r="43" spans="1:12" x14ac:dyDescent="0.1">
      <c r="L43" s="1">
        <v>75</v>
      </c>
    </row>
    <row r="44" spans="1:12" x14ac:dyDescent="0.1">
      <c r="A44" s="1">
        <v>4</v>
      </c>
      <c r="B44" s="1" t="s">
        <v>23</v>
      </c>
      <c r="L44" s="1">
        <v>80</v>
      </c>
    </row>
    <row r="45" spans="1:12" x14ac:dyDescent="0.1">
      <c r="L45" s="1">
        <v>85</v>
      </c>
    </row>
    <row r="46" spans="1:12" x14ac:dyDescent="0.1">
      <c r="B46" s="1" t="s">
        <v>12</v>
      </c>
      <c r="L46" s="1">
        <v>90</v>
      </c>
    </row>
    <row r="48" spans="1:12" x14ac:dyDescent="0.1">
      <c r="B48" s="1" t="s">
        <v>25</v>
      </c>
      <c r="C48" s="1" t="s">
        <v>4</v>
      </c>
      <c r="D48" s="2" t="s">
        <v>0</v>
      </c>
      <c r="E48" s="1" t="s">
        <v>24</v>
      </c>
    </row>
    <row r="49" spans="1:13" x14ac:dyDescent="0.1">
      <c r="B49" s="1" t="s">
        <v>26</v>
      </c>
      <c r="C49" s="1" t="s">
        <v>4</v>
      </c>
      <c r="D49" s="2" t="s">
        <v>1</v>
      </c>
      <c r="E49" s="23" t="str">
        <f>E40</f>
        <v>please select</v>
      </c>
    </row>
    <row r="50" spans="1:13" x14ac:dyDescent="0.1">
      <c r="B50" s="1" t="s">
        <v>2</v>
      </c>
      <c r="C50" s="1" t="s">
        <v>5</v>
      </c>
      <c r="D50" s="2" t="s">
        <v>3</v>
      </c>
      <c r="E50" s="7" t="e">
        <f>E28</f>
        <v>#VALUE!</v>
      </c>
      <c r="L50" s="1" t="s">
        <v>102</v>
      </c>
    </row>
    <row r="51" spans="1:13" x14ac:dyDescent="0.1">
      <c r="B51" s="1" t="s">
        <v>9</v>
      </c>
      <c r="C51" s="1" t="s">
        <v>6</v>
      </c>
      <c r="D51" s="2" t="s">
        <v>10</v>
      </c>
      <c r="E51" s="8" t="e">
        <f>D42</f>
        <v>#VALUE!</v>
      </c>
      <c r="L51" s="1" t="s">
        <v>64</v>
      </c>
      <c r="M51" s="1">
        <v>1</v>
      </c>
    </row>
    <row r="52" spans="1:13" x14ac:dyDescent="0.1">
      <c r="B52" s="1" t="s">
        <v>8</v>
      </c>
      <c r="C52" s="1" t="s">
        <v>7</v>
      </c>
      <c r="D52" s="2" t="s">
        <v>11</v>
      </c>
      <c r="E52" s="1" t="b">
        <f>IF(M51=2,3300,IF(M51=3,10000))</f>
        <v>0</v>
      </c>
      <c r="L52" s="1" t="s">
        <v>103</v>
      </c>
    </row>
    <row r="53" spans="1:13" x14ac:dyDescent="0.1">
      <c r="L53" s="1" t="s">
        <v>104</v>
      </c>
    </row>
    <row r="54" spans="1:13" x14ac:dyDescent="0.1">
      <c r="M54" s="1" t="b">
        <f>IF(M51=2,3300,IF(M51=3,10000))</f>
        <v>0</v>
      </c>
    </row>
    <row r="55" spans="1:13" x14ac:dyDescent="0.1">
      <c r="B55" s="4" t="s">
        <v>13</v>
      </c>
      <c r="C55" s="1" t="e">
        <f>Q*As</f>
        <v>#VALUE!</v>
      </c>
    </row>
    <row r="56" spans="1:13" x14ac:dyDescent="0.1">
      <c r="B56" s="4" t="s">
        <v>14</v>
      </c>
      <c r="C56" s="1">
        <f>0.1*K</f>
        <v>0</v>
      </c>
    </row>
    <row r="57" spans="1:13" x14ac:dyDescent="0.1">
      <c r="B57" s="4" t="s">
        <v>15</v>
      </c>
      <c r="C57" s="9" t="e">
        <f>(C55/C56)^0.5</f>
        <v>#VALUE!</v>
      </c>
    </row>
    <row r="58" spans="1:13" x14ac:dyDescent="0.1">
      <c r="B58" s="4" t="s">
        <v>16</v>
      </c>
      <c r="C58" s="9" t="e">
        <f>C57</f>
        <v>#VALUE!</v>
      </c>
    </row>
    <row r="59" spans="1:13" x14ac:dyDescent="0.1">
      <c r="B59" s="4" t="s">
        <v>17</v>
      </c>
      <c r="C59" s="9" t="e">
        <f>C58/E49</f>
        <v>#VALUE!</v>
      </c>
    </row>
    <row r="61" spans="1:13" x14ac:dyDescent="0.1">
      <c r="A61" s="1">
        <v>5</v>
      </c>
      <c r="B61" s="1" t="s">
        <v>94</v>
      </c>
    </row>
    <row r="62" spans="1:13" x14ac:dyDescent="0.1">
      <c r="B62" s="1" t="s">
        <v>95</v>
      </c>
    </row>
    <row r="63" spans="1:13" x14ac:dyDescent="0.1">
      <c r="B63" s="1" t="s">
        <v>17</v>
      </c>
      <c r="C63" s="9" t="e">
        <f>C59</f>
        <v>#VALUE!</v>
      </c>
    </row>
    <row r="64" spans="1:13" x14ac:dyDescent="0.1">
      <c r="B64" s="1" t="s">
        <v>96</v>
      </c>
      <c r="C64" s="1" t="e">
        <f>D42/C63</f>
        <v>#VALUE!</v>
      </c>
    </row>
    <row r="65" spans="2:3" x14ac:dyDescent="0.1">
      <c r="B65" s="1" t="s">
        <v>97</v>
      </c>
      <c r="C65" s="1" t="e">
        <f>C64/C63</f>
        <v>#VALUE!</v>
      </c>
    </row>
  </sheetData>
  <sheetProtection selectLockedCells="1"/>
  <mergeCells count="1">
    <mergeCell ref="L6:M6"/>
  </mergeCells>
  <phoneticPr fontId="0" type="noConversion"/>
  <pageMargins left="0.54" right="0.54" top="0.71" bottom="1" header="0.5" footer="0.5"/>
  <pageSetup paperSize="9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answer sheet</vt:lpstr>
      <vt:lpstr>calc sheet</vt:lpstr>
      <vt:lpstr>As</vt:lpstr>
      <vt:lpstr>d</vt:lpstr>
      <vt:lpstr>K</vt:lpstr>
      <vt:lpstr>answer sheet!Print_Area</vt:lpstr>
      <vt:lpstr>Q</vt:lpstr>
    </vt:vector>
  </TitlesOfParts>
  <Company>NSW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yiasoub</dc:creator>
  <cp:lastModifiedBy>X</cp:lastModifiedBy>
  <cp:lastPrinted>2006-06-02T00:23:00Z</cp:lastPrinted>
  <dcterms:created xsi:type="dcterms:W3CDTF">2005-12-05T01:30:12Z</dcterms:created>
  <dcterms:modified xsi:type="dcterms:W3CDTF">2019-09-17T21:30:47Z</dcterms:modified>
</cp:coreProperties>
</file>