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GrantT\Desktop\"/>
    </mc:Choice>
  </mc:AlternateContent>
  <xr:revisionPtr revIDLastSave="0" documentId="8_{3D6E63C1-2611-4701-A8B8-BA39AF48E3AC}" xr6:coauthVersionLast="47" xr6:coauthVersionMax="47" xr10:uidLastSave="{00000000-0000-0000-0000-000000000000}"/>
  <bookViews>
    <workbookView xWindow="-98" yWindow="-98" windowWidth="20715" windowHeight="13276" tabRatio="661" firstSheet="11" activeTab="19" xr2:uid="{00000000-000D-0000-FFFF-FFFF00000000}"/>
  </bookViews>
  <sheets>
    <sheet name="About" sheetId="15" r:id="rId1"/>
    <sheet name="Instructions" sheetId="5" r:id="rId2"/>
    <sheet name="Cost explanations" sheetId="18" r:id="rId3"/>
    <sheet name="Input_Data" sheetId="1" state="hidden" r:id="rId4"/>
    <sheet name="Area_based_costs" sheetId="30" state="hidden" r:id="rId5"/>
    <sheet name="Data_Lists" sheetId="3" state="hidden" r:id="rId6"/>
    <sheet name="Results_Summary" sheetId="13" r:id="rId7"/>
    <sheet name="Data_Entry" sheetId="17" r:id="rId8"/>
    <sheet name="Dashboard_1" sheetId="6" r:id="rId9"/>
    <sheet name="Dashboard_2" sheetId="38" r:id="rId10"/>
    <sheet name="Dashboard_3" sheetId="29" r:id="rId11"/>
    <sheet name="Model_1" sheetId="7" r:id="rId12"/>
    <sheet name="Model_2" sheetId="32" r:id="rId13"/>
    <sheet name="Model_3" sheetId="35" r:id="rId14"/>
    <sheet name="Cashflow_1" sheetId="9" r:id="rId15"/>
    <sheet name="Cashflow_2" sheetId="33" r:id="rId16"/>
    <sheet name="Cashflow_3" sheetId="36" r:id="rId17"/>
    <sheet name="Cumulative_Costs_1" sheetId="28" r:id="rId18"/>
    <sheet name="Cumulative_Costs_2" sheetId="34" r:id="rId19"/>
    <sheet name="Cumulative_Costs_3" sheetId="37" r:id="rId2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1826</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1826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hidden="1">"GS4KU4CUKSRUEAYW8T1ABSYQ"</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_xll.RiskCellHasTokensFromFormula(262144+512+524288,_xlfn.FORMULATEXT(INDIRECT(ADDRESS(ROW(),COLUMN()))))</definedName>
    <definedName name="RiskIsOptimization" hidden="1">TRUE</definedName>
    <definedName name="RiskIsOutput" hidden="1">_xll.RiskCellHasTokensFromFormula(1024,_xlfn.FORMULATEXT(INDIRECT(ADDRESS(ROW(),COLUMN()))))</definedName>
    <definedName name="RiskIsStatistics" hidden="1">_xll.RiskCellHasTokensFromFormula(4096+32768+65536,_xlfn.FORMULATEXT(INDIRECT(ADDRESS(ROW(),COLUMN()))))</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"$L$14"</definedName>
    <definedName name="RiskSelectedNameCell1" hidden="1">"$B$14"</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8" i="1" l="1"/>
  <c r="R8" i="1"/>
  <c r="P8" i="1"/>
  <c r="O8" i="1"/>
  <c r="O19" i="1"/>
  <c r="N19" i="1"/>
  <c r="A40" i="13"/>
  <c r="E40" i="13"/>
  <c r="F4" i="13"/>
  <c r="A42" i="32"/>
  <c r="A41" i="32"/>
  <c r="A39" i="32"/>
  <c r="A38" i="32"/>
  <c r="A7" i="32"/>
  <c r="A60" i="32" s="1"/>
  <c r="A8" i="34" s="1"/>
  <c r="A64" i="34" s="1"/>
  <c r="H59" i="38"/>
  <c r="F5" i="13" s="1"/>
  <c r="F41" i="13" s="1"/>
  <c r="H58" i="38"/>
  <c r="H57" i="38"/>
  <c r="H55" i="38"/>
  <c r="H54" i="38"/>
  <c r="H53" i="38"/>
  <c r="H52" i="38"/>
  <c r="E50" i="38"/>
  <c r="F49" i="38"/>
  <c r="H49" i="38" s="1"/>
  <c r="H48" i="38"/>
  <c r="E47" i="38"/>
  <c r="E46" i="38"/>
  <c r="B46" i="38"/>
  <c r="E45" i="38"/>
  <c r="B45" i="38"/>
  <c r="E44" i="38"/>
  <c r="B44" i="38"/>
  <c r="H42" i="38"/>
  <c r="E41" i="38"/>
  <c r="B41" i="38"/>
  <c r="E40" i="38"/>
  <c r="B40" i="38"/>
  <c r="E39" i="38"/>
  <c r="E36" i="38"/>
  <c r="E35" i="38"/>
  <c r="E34" i="38"/>
  <c r="E33" i="38"/>
  <c r="E32" i="38"/>
  <c r="E31" i="38"/>
  <c r="F31" i="38" s="1"/>
  <c r="H31" i="38" s="1"/>
  <c r="H30" i="38"/>
  <c r="E29" i="38"/>
  <c r="B29" i="38"/>
  <c r="H28" i="38"/>
  <c r="E27" i="38"/>
  <c r="B27" i="38"/>
  <c r="E26" i="38"/>
  <c r="F26" i="38" s="1"/>
  <c r="H26" i="38" s="1"/>
  <c r="E25" i="38"/>
  <c r="F25" i="38" s="1"/>
  <c r="H25" i="38" s="1"/>
  <c r="E24" i="38"/>
  <c r="B24" i="38"/>
  <c r="H23" i="38"/>
  <c r="E23" i="38"/>
  <c r="B23" i="38"/>
  <c r="E21" i="38"/>
  <c r="B21" i="38"/>
  <c r="E19" i="38"/>
  <c r="B19" i="38"/>
  <c r="A6" i="32" s="1"/>
  <c r="A59" i="32" s="1"/>
  <c r="A7" i="34" s="1"/>
  <c r="A63" i="34" s="1"/>
  <c r="E18" i="38"/>
  <c r="B18" i="38"/>
  <c r="A9" i="32" s="1"/>
  <c r="H17" i="38"/>
  <c r="E16" i="38"/>
  <c r="B16" i="38"/>
  <c r="H15" i="38"/>
  <c r="E14" i="38"/>
  <c r="B14" i="38"/>
  <c r="E13" i="38"/>
  <c r="B13" i="38"/>
  <c r="A5" i="32" s="1"/>
  <c r="A58" i="32" s="1"/>
  <c r="A6" i="34" s="1"/>
  <c r="A62" i="34" s="1"/>
  <c r="H12" i="38"/>
  <c r="E11" i="38"/>
  <c r="B11" i="38"/>
  <c r="E9" i="38"/>
  <c r="B9" i="38"/>
  <c r="H8" i="38"/>
  <c r="H6" i="38"/>
  <c r="H8" i="29"/>
  <c r="F20" i="30" s="1"/>
  <c r="H23" i="6"/>
  <c r="B23" i="29"/>
  <c r="B22" i="29"/>
  <c r="H6" i="29"/>
  <c r="L9" i="35" s="1"/>
  <c r="L78" i="17"/>
  <c r="F14" i="29"/>
  <c r="C56" i="35"/>
  <c r="D56" i="35"/>
  <c r="E56" i="35"/>
  <c r="F56" i="35"/>
  <c r="G56" i="35"/>
  <c r="H56" i="35"/>
  <c r="I56" i="35"/>
  <c r="J56" i="35"/>
  <c r="K56" i="35"/>
  <c r="L56" i="35"/>
  <c r="M56" i="35"/>
  <c r="N56" i="35"/>
  <c r="O56" i="35"/>
  <c r="P56" i="35"/>
  <c r="Q56" i="35"/>
  <c r="R56" i="35"/>
  <c r="S56" i="35"/>
  <c r="T56" i="35"/>
  <c r="U56" i="35"/>
  <c r="V56" i="35"/>
  <c r="W56" i="35"/>
  <c r="X56" i="35"/>
  <c r="Y56" i="35"/>
  <c r="Z56" i="35"/>
  <c r="AA56" i="35"/>
  <c r="AB56" i="35"/>
  <c r="AC56" i="35"/>
  <c r="AD56" i="35"/>
  <c r="AE56" i="35"/>
  <c r="AF56" i="35"/>
  <c r="AG56" i="35"/>
  <c r="AH56" i="35"/>
  <c r="AI56" i="35"/>
  <c r="AJ56" i="35"/>
  <c r="AK56" i="35"/>
  <c r="AL56" i="35"/>
  <c r="AM56" i="35"/>
  <c r="AN56" i="35"/>
  <c r="AO56" i="35"/>
  <c r="AP56" i="35"/>
  <c r="AQ56" i="35"/>
  <c r="AR56" i="35"/>
  <c r="AS56" i="35"/>
  <c r="AT56" i="35"/>
  <c r="AU56" i="35"/>
  <c r="AV56" i="35"/>
  <c r="AW56" i="35"/>
  <c r="AX56" i="35"/>
  <c r="AY56" i="35"/>
  <c r="F32" i="29"/>
  <c r="H32" i="29" s="1"/>
  <c r="F12" i="29"/>
  <c r="H12" i="29"/>
  <c r="F10" i="29"/>
  <c r="H10" i="29" s="1"/>
  <c r="B10" i="35" s="1"/>
  <c r="B55" i="35" s="1"/>
  <c r="B11" i="37" s="1"/>
  <c r="F19" i="29"/>
  <c r="H19" i="29"/>
  <c r="F15" i="29"/>
  <c r="E16" i="29"/>
  <c r="F16" i="29" s="1"/>
  <c r="H16" i="29" s="1"/>
  <c r="E18" i="29"/>
  <c r="F18" i="29"/>
  <c r="H18" i="29"/>
  <c r="J4" i="13"/>
  <c r="I6" i="13" s="1"/>
  <c r="I13" i="13"/>
  <c r="I14" i="13"/>
  <c r="I15" i="13"/>
  <c r="I16" i="13"/>
  <c r="I37" i="13"/>
  <c r="J37" i="13"/>
  <c r="I38" i="13"/>
  <c r="I39" i="13"/>
  <c r="I40" i="13"/>
  <c r="I41" i="13"/>
  <c r="I42" i="13"/>
  <c r="J42" i="13"/>
  <c r="A51" i="35"/>
  <c r="A7" i="37"/>
  <c r="A58" i="37"/>
  <c r="A50" i="35"/>
  <c r="A6" i="37" s="1"/>
  <c r="A57" i="37" s="1"/>
  <c r="A65" i="35"/>
  <c r="A21" i="37"/>
  <c r="A72" i="37"/>
  <c r="A60" i="35"/>
  <c r="A16" i="37"/>
  <c r="A67" i="37" s="1"/>
  <c r="A61" i="35"/>
  <c r="A17" i="37"/>
  <c r="A68" i="37"/>
  <c r="A62" i="35"/>
  <c r="A18" i="37" s="1"/>
  <c r="A69" i="37" s="1"/>
  <c r="A63" i="35"/>
  <c r="A19" i="37"/>
  <c r="A70" i="37"/>
  <c r="A64" i="35"/>
  <c r="A20" i="37"/>
  <c r="A71" i="37" s="1"/>
  <c r="A59" i="35"/>
  <c r="A15" i="37"/>
  <c r="A66" i="37"/>
  <c r="A53" i="35"/>
  <c r="A9" i="37" s="1"/>
  <c r="A60" i="37" s="1"/>
  <c r="A54" i="35"/>
  <c r="A10" i="37"/>
  <c r="A61" i="37" s="1"/>
  <c r="A55" i="35"/>
  <c r="A11" i="37"/>
  <c r="A62" i="37" s="1"/>
  <c r="A57" i="35"/>
  <c r="A13" i="37"/>
  <c r="A64" i="37"/>
  <c r="A58" i="35"/>
  <c r="A14" i="37" s="1"/>
  <c r="A65" i="37" s="1"/>
  <c r="A49" i="35"/>
  <c r="A5" i="37"/>
  <c r="A56" i="37"/>
  <c r="C46" i="35"/>
  <c r="D46" i="35"/>
  <c r="E46" i="35" s="1"/>
  <c r="F46" i="35" s="1"/>
  <c r="G46" i="35" s="1"/>
  <c r="H46" i="35" s="1"/>
  <c r="I46" i="35" s="1"/>
  <c r="J46" i="35" s="1"/>
  <c r="K46" i="35" s="1"/>
  <c r="L46" i="35" s="1"/>
  <c r="M46" i="35" s="1"/>
  <c r="N46" i="35" s="1"/>
  <c r="O46" i="35" s="1"/>
  <c r="P46" i="35" s="1"/>
  <c r="Q46" i="35" s="1"/>
  <c r="R46" i="35" s="1"/>
  <c r="S46" i="35" s="1"/>
  <c r="T46" i="35" s="1"/>
  <c r="U46" i="35" s="1"/>
  <c r="V46" i="35" s="1"/>
  <c r="W46" i="35" s="1"/>
  <c r="X46" i="35" s="1"/>
  <c r="Y46" i="35" s="1"/>
  <c r="Z46" i="35" s="1"/>
  <c r="AA46" i="35" s="1"/>
  <c r="AB46" i="35" s="1"/>
  <c r="AC46" i="35" s="1"/>
  <c r="AD46" i="35" s="1"/>
  <c r="AE46" i="35" s="1"/>
  <c r="AF46" i="35" s="1"/>
  <c r="AG46" i="35" s="1"/>
  <c r="AH46" i="35" s="1"/>
  <c r="AI46" i="35" s="1"/>
  <c r="AJ46" i="35" s="1"/>
  <c r="AK46" i="35" s="1"/>
  <c r="AL46" i="35" s="1"/>
  <c r="AM46" i="35" s="1"/>
  <c r="AN46" i="35" s="1"/>
  <c r="AO46" i="35" s="1"/>
  <c r="AP46" i="35" s="1"/>
  <c r="AQ46" i="35" s="1"/>
  <c r="AR46" i="35"/>
  <c r="AS46" i="35" s="1"/>
  <c r="AT46" i="35" s="1"/>
  <c r="AU46" i="35" s="1"/>
  <c r="AV46" i="35" s="1"/>
  <c r="AW46" i="35" s="1"/>
  <c r="AX46" i="35" s="1"/>
  <c r="AY46" i="35" s="1"/>
  <c r="AX48" i="35"/>
  <c r="AY48" i="35"/>
  <c r="C48" i="35"/>
  <c r="D48" i="35"/>
  <c r="E48" i="35"/>
  <c r="F48" i="35"/>
  <c r="G48" i="35"/>
  <c r="H48" i="35"/>
  <c r="I48" i="35"/>
  <c r="J48" i="35"/>
  <c r="K48" i="35"/>
  <c r="L48" i="35"/>
  <c r="M48" i="35"/>
  <c r="N48" i="35"/>
  <c r="O48" i="35"/>
  <c r="P48" i="35"/>
  <c r="Q48" i="35"/>
  <c r="R48" i="35"/>
  <c r="S48" i="35"/>
  <c r="T48" i="35"/>
  <c r="U48" i="35"/>
  <c r="V48" i="35"/>
  <c r="W48" i="35"/>
  <c r="X48" i="35"/>
  <c r="Y48" i="35"/>
  <c r="Z48" i="35"/>
  <c r="AA48" i="35"/>
  <c r="AB48" i="35"/>
  <c r="AC48" i="35"/>
  <c r="AD48" i="35"/>
  <c r="AE48" i="35"/>
  <c r="AF48" i="35"/>
  <c r="AG48" i="35"/>
  <c r="AH48" i="35"/>
  <c r="AI48" i="35"/>
  <c r="AJ48" i="35"/>
  <c r="AK48" i="35"/>
  <c r="AL48" i="35"/>
  <c r="AM48" i="35"/>
  <c r="AN48" i="35"/>
  <c r="AO48" i="35"/>
  <c r="AP48" i="35"/>
  <c r="AQ48" i="35"/>
  <c r="AR48" i="35"/>
  <c r="AS48" i="35"/>
  <c r="AT48" i="35"/>
  <c r="AU48" i="35"/>
  <c r="AV48" i="35"/>
  <c r="AW48" i="35"/>
  <c r="B48" i="35"/>
  <c r="L31" i="35"/>
  <c r="M31" i="35"/>
  <c r="N31" i="35"/>
  <c r="O31" i="35"/>
  <c r="P31" i="35"/>
  <c r="Q31" i="35"/>
  <c r="R31" i="35"/>
  <c r="S31" i="35"/>
  <c r="T31" i="35"/>
  <c r="U31" i="35"/>
  <c r="V31" i="35"/>
  <c r="W31" i="35"/>
  <c r="X31" i="35"/>
  <c r="Y31" i="35"/>
  <c r="Z31" i="35"/>
  <c r="AA31" i="35"/>
  <c r="AB31" i="35"/>
  <c r="AC31" i="35"/>
  <c r="AD31" i="35"/>
  <c r="AE31" i="35"/>
  <c r="AF31" i="35"/>
  <c r="AG31" i="35"/>
  <c r="AH31" i="35"/>
  <c r="AI31" i="35"/>
  <c r="AJ31" i="35"/>
  <c r="AK31" i="35"/>
  <c r="AL31" i="35"/>
  <c r="AM31" i="35"/>
  <c r="AN31" i="35"/>
  <c r="AO31" i="35"/>
  <c r="AP31" i="35"/>
  <c r="AQ31" i="35"/>
  <c r="AR31" i="35"/>
  <c r="AS31" i="35"/>
  <c r="AT31" i="35"/>
  <c r="AU31" i="35"/>
  <c r="AV31" i="35"/>
  <c r="AW31" i="35"/>
  <c r="AX31" i="35"/>
  <c r="AY31" i="35"/>
  <c r="A52" i="35"/>
  <c r="A8" i="37" s="1"/>
  <c r="A59" i="37" s="1"/>
  <c r="F42" i="13"/>
  <c r="F37" i="13"/>
  <c r="E37" i="13"/>
  <c r="E38" i="13"/>
  <c r="E39" i="13"/>
  <c r="E41" i="13"/>
  <c r="E42" i="13"/>
  <c r="B27" i="1"/>
  <c r="B33" i="38" s="1"/>
  <c r="B28" i="1"/>
  <c r="B34" i="38" s="1"/>
  <c r="B29" i="1"/>
  <c r="B35" i="38"/>
  <c r="B30" i="1"/>
  <c r="B31" i="1"/>
  <c r="B62" i="1" s="1"/>
  <c r="B92" i="1" s="1"/>
  <c r="B26" i="1"/>
  <c r="B32" i="38"/>
  <c r="A29" i="32" s="1"/>
  <c r="A74" i="32" s="1"/>
  <c r="A22" i="34" s="1"/>
  <c r="A78" i="34" s="1"/>
  <c r="B33" i="17"/>
  <c r="B63" i="17" s="1"/>
  <c r="B36" i="17"/>
  <c r="B66" i="17" s="1"/>
  <c r="B97" i="17" s="1"/>
  <c r="E13" i="13"/>
  <c r="E14" i="13"/>
  <c r="E15" i="13"/>
  <c r="E16" i="13"/>
  <c r="A18" i="34"/>
  <c r="A74" i="34"/>
  <c r="A17" i="34"/>
  <c r="A73" i="34" s="1"/>
  <c r="H6" i="6"/>
  <c r="A72" i="32"/>
  <c r="A20" i="34"/>
  <c r="A76" i="34"/>
  <c r="A71" i="32"/>
  <c r="A19" i="34" s="1"/>
  <c r="A75" i="34" s="1"/>
  <c r="A68" i="32"/>
  <c r="A16" i="34"/>
  <c r="A72" i="34"/>
  <c r="A67" i="32"/>
  <c r="A15" i="34" s="1"/>
  <c r="A71" i="34" s="1"/>
  <c r="A63" i="32"/>
  <c r="A11" i="34"/>
  <c r="A67" i="34"/>
  <c r="AY56" i="32"/>
  <c r="AY4" i="37"/>
  <c r="AY55" i="37" s="1"/>
  <c r="AX56" i="32"/>
  <c r="AX4" i="37"/>
  <c r="AX55" i="37"/>
  <c r="AW56" i="32"/>
  <c r="AW4" i="34" s="1"/>
  <c r="AW60" i="34" s="1"/>
  <c r="AV56" i="32"/>
  <c r="AV4" i="34"/>
  <c r="AV60" i="34"/>
  <c r="AU56" i="32"/>
  <c r="AU4" i="37"/>
  <c r="AU55" i="37" s="1"/>
  <c r="AT56" i="32"/>
  <c r="AT4" i="37"/>
  <c r="AT55" i="37"/>
  <c r="AS56" i="32"/>
  <c r="AS4" i="34" s="1"/>
  <c r="AS60" i="34" s="1"/>
  <c r="AR56" i="32"/>
  <c r="AR4" i="34"/>
  <c r="AR60" i="34"/>
  <c r="AQ56" i="32"/>
  <c r="AQ4" i="34"/>
  <c r="AQ60" i="34" s="1"/>
  <c r="AP56" i="32"/>
  <c r="AP4" i="37"/>
  <c r="AP55" i="37"/>
  <c r="AO56" i="32"/>
  <c r="AO4" i="37" s="1"/>
  <c r="AO55" i="37" s="1"/>
  <c r="AN56" i="32"/>
  <c r="AN4" i="37"/>
  <c r="AN55" i="37"/>
  <c r="AM56" i="32"/>
  <c r="AM4" i="37"/>
  <c r="AM55" i="37" s="1"/>
  <c r="AL56" i="32"/>
  <c r="AL4" i="37"/>
  <c r="AL55" i="37"/>
  <c r="AK56" i="32"/>
  <c r="AJ56" i="32"/>
  <c r="AJ4" i="37" s="1"/>
  <c r="AJ55" i="37" s="1"/>
  <c r="AI56" i="32"/>
  <c r="AI4" i="34"/>
  <c r="AI60" i="34" s="1"/>
  <c r="AH56" i="32"/>
  <c r="AG56" i="32"/>
  <c r="AG4" i="34"/>
  <c r="AG60" i="34"/>
  <c r="AF56" i="32"/>
  <c r="AE56" i="32"/>
  <c r="AE4" i="34"/>
  <c r="AE60" i="34"/>
  <c r="AD56" i="32"/>
  <c r="AD4" i="34" s="1"/>
  <c r="AD60" i="34" s="1"/>
  <c r="AC56" i="32"/>
  <c r="AC4" i="34"/>
  <c r="AC60" i="34"/>
  <c r="AB56" i="32"/>
  <c r="AB4" i="34" s="1"/>
  <c r="AB60" i="34" s="1"/>
  <c r="AA56" i="32"/>
  <c r="Z56" i="32"/>
  <c r="Y56" i="32"/>
  <c r="Y4" i="34" s="1"/>
  <c r="Y60" i="34" s="1"/>
  <c r="X56" i="32"/>
  <c r="X4" i="34" s="1"/>
  <c r="X60" i="34" s="1"/>
  <c r="W56" i="32"/>
  <c r="W4" i="34"/>
  <c r="W60" i="34" s="1"/>
  <c r="V56" i="32"/>
  <c r="U56" i="32"/>
  <c r="U4" i="34"/>
  <c r="U60" i="34"/>
  <c r="T56" i="32"/>
  <c r="T4" i="34" s="1"/>
  <c r="T60" i="34" s="1"/>
  <c r="S56" i="32"/>
  <c r="S4" i="34"/>
  <c r="S60" i="34"/>
  <c r="R56" i="32"/>
  <c r="Q56" i="32"/>
  <c r="Q4" i="34"/>
  <c r="Q60" i="34"/>
  <c r="P56" i="32"/>
  <c r="P4" i="37" s="1"/>
  <c r="P55" i="37" s="1"/>
  <c r="O56" i="32"/>
  <c r="O4" i="37"/>
  <c r="O55" i="37"/>
  <c r="N56" i="32"/>
  <c r="N4" i="37" s="1"/>
  <c r="N55" i="37" s="1"/>
  <c r="M56" i="32"/>
  <c r="M4" i="37"/>
  <c r="M55" i="37"/>
  <c r="L56" i="32"/>
  <c r="K56" i="32"/>
  <c r="K4" i="34"/>
  <c r="K60" i="34"/>
  <c r="J56" i="32"/>
  <c r="J4" i="34" s="1"/>
  <c r="J60" i="34" s="1"/>
  <c r="I56" i="32"/>
  <c r="I4" i="34"/>
  <c r="I60" i="34"/>
  <c r="H56" i="32"/>
  <c r="G56" i="32"/>
  <c r="G4" i="34"/>
  <c r="G60" i="34" s="1"/>
  <c r="F56" i="32"/>
  <c r="F4" i="34" s="1"/>
  <c r="F60" i="34" s="1"/>
  <c r="E56" i="32"/>
  <c r="E4" i="34"/>
  <c r="E60" i="34" s="1"/>
  <c r="D56" i="32"/>
  <c r="D4" i="37" s="1"/>
  <c r="D55" i="37" s="1"/>
  <c r="C56" i="32"/>
  <c r="C4" i="37"/>
  <c r="C55" i="37" s="1"/>
  <c r="B56" i="32"/>
  <c r="C54" i="32"/>
  <c r="B43" i="32"/>
  <c r="G16" i="32"/>
  <c r="F16" i="32"/>
  <c r="E16" i="32"/>
  <c r="D16" i="32"/>
  <c r="C16" i="32"/>
  <c r="A13" i="32"/>
  <c r="A66" i="32" s="1"/>
  <c r="A14" i="34" s="1"/>
  <c r="A70" i="34" s="1"/>
  <c r="A12" i="32"/>
  <c r="A65" i="32" s="1"/>
  <c r="A13" i="34" s="1"/>
  <c r="A69" i="34" s="1"/>
  <c r="A11" i="32"/>
  <c r="A64" i="32" s="1"/>
  <c r="A12" i="34" s="1"/>
  <c r="A68" i="34" s="1"/>
  <c r="B13" i="29"/>
  <c r="D54" i="32"/>
  <c r="E54" i="32"/>
  <c r="F13" i="29"/>
  <c r="F31" i="29"/>
  <c r="H31" i="29" s="1"/>
  <c r="B18" i="35" s="1"/>
  <c r="E17" i="29"/>
  <c r="F17" i="29"/>
  <c r="H17" i="29" s="1"/>
  <c r="B5" i="30"/>
  <c r="B2" i="30"/>
  <c r="B4" i="30"/>
  <c r="B46" i="6"/>
  <c r="H42" i="29"/>
  <c r="J5" i="13" s="1"/>
  <c r="J41" i="13" s="1"/>
  <c r="H41" i="29"/>
  <c r="AL64" i="35"/>
  <c r="H40" i="29"/>
  <c r="H38" i="29"/>
  <c r="H37" i="29"/>
  <c r="H36" i="29"/>
  <c r="H35" i="29"/>
  <c r="E33" i="29"/>
  <c r="E32" i="29"/>
  <c r="E31" i="29"/>
  <c r="H20" i="29"/>
  <c r="E10" i="29"/>
  <c r="B10" i="29"/>
  <c r="H9" i="29"/>
  <c r="J60" i="35"/>
  <c r="C20" i="30"/>
  <c r="B20" i="30"/>
  <c r="F33" i="29" s="1"/>
  <c r="H33" i="29" s="1"/>
  <c r="B20" i="35" s="1"/>
  <c r="B61" i="35" s="1"/>
  <c r="B17" i="37" s="1"/>
  <c r="B68" i="37" s="1"/>
  <c r="A38" i="13"/>
  <c r="A39" i="13"/>
  <c r="A41" i="13"/>
  <c r="A17" i="28"/>
  <c r="A73" i="28"/>
  <c r="A18" i="28"/>
  <c r="A74" i="28"/>
  <c r="AG56" i="7"/>
  <c r="AG4" i="28" s="1"/>
  <c r="AG60" i="28" s="1"/>
  <c r="AH56" i="7"/>
  <c r="AH4" i="28"/>
  <c r="AH60" i="28"/>
  <c r="AI56" i="7"/>
  <c r="AI4" i="28"/>
  <c r="AI60" i="28" s="1"/>
  <c r="AJ56" i="7"/>
  <c r="AJ4" i="28"/>
  <c r="AJ60" i="28"/>
  <c r="AK56" i="7"/>
  <c r="AK4" i="28" s="1"/>
  <c r="AK60" i="28" s="1"/>
  <c r="AL56" i="7"/>
  <c r="AL4" i="28"/>
  <c r="AL60" i="28"/>
  <c r="AM56" i="7"/>
  <c r="AM4" i="28"/>
  <c r="AM60" i="28" s="1"/>
  <c r="AN56" i="7"/>
  <c r="AN4" i="28"/>
  <c r="AN60" i="28"/>
  <c r="AO56" i="7"/>
  <c r="AO4" i="28" s="1"/>
  <c r="AO60" i="28" s="1"/>
  <c r="AP56" i="7"/>
  <c r="AP4" i="28"/>
  <c r="AP60" i="28"/>
  <c r="AQ56" i="7"/>
  <c r="AQ4" i="28"/>
  <c r="AQ60" i="28" s="1"/>
  <c r="AR56" i="7"/>
  <c r="AR4" i="28"/>
  <c r="AR60" i="28"/>
  <c r="AS56" i="7"/>
  <c r="AS4" i="28" s="1"/>
  <c r="AS60" i="28" s="1"/>
  <c r="AT56" i="7"/>
  <c r="AT4" i="28"/>
  <c r="AT60" i="28"/>
  <c r="AU56" i="7"/>
  <c r="AU4" i="28"/>
  <c r="AU60" i="28" s="1"/>
  <c r="AV56" i="7"/>
  <c r="AV4" i="28"/>
  <c r="AV60" i="28"/>
  <c r="AW56" i="7"/>
  <c r="AW4" i="28" s="1"/>
  <c r="AW60" i="28" s="1"/>
  <c r="AX56" i="7"/>
  <c r="AX4" i="28"/>
  <c r="AX60" i="28"/>
  <c r="AY56" i="7"/>
  <c r="AY4" i="28"/>
  <c r="AY60" i="28" s="1"/>
  <c r="H59" i="6"/>
  <c r="B5" i="13"/>
  <c r="B41" i="13"/>
  <c r="A72" i="7"/>
  <c r="A20" i="28" s="1"/>
  <c r="A76" i="28" s="1"/>
  <c r="A71" i="7"/>
  <c r="A19" i="28" s="1"/>
  <c r="A75" i="28" s="1"/>
  <c r="A68" i="7"/>
  <c r="A16" i="28"/>
  <c r="A72" i="28" s="1"/>
  <c r="A63" i="7"/>
  <c r="A11" i="28"/>
  <c r="A67" i="28"/>
  <c r="A67" i="7"/>
  <c r="A15" i="28" s="1"/>
  <c r="A71" i="28" s="1"/>
  <c r="A42" i="7"/>
  <c r="A41" i="7"/>
  <c r="A39" i="7"/>
  <c r="A38" i="7"/>
  <c r="H48" i="6"/>
  <c r="E47" i="6"/>
  <c r="F49" i="6"/>
  <c r="H49" i="6"/>
  <c r="H30" i="6"/>
  <c r="C16" i="7"/>
  <c r="D16" i="7"/>
  <c r="E16" i="7"/>
  <c r="F16" i="7"/>
  <c r="G16" i="7"/>
  <c r="A7" i="7"/>
  <c r="A60" i="7" s="1"/>
  <c r="A8" i="28" s="1"/>
  <c r="A64" i="28" s="1"/>
  <c r="H17" i="6"/>
  <c r="H15" i="6"/>
  <c r="B14" i="6"/>
  <c r="E14" i="6"/>
  <c r="H12" i="6"/>
  <c r="E29" i="6"/>
  <c r="E27" i="6"/>
  <c r="E26" i="6"/>
  <c r="F26" i="6"/>
  <c r="H26" i="6" s="1"/>
  <c r="E25" i="6"/>
  <c r="F25" i="6" s="1"/>
  <c r="H25" i="6" s="1"/>
  <c r="E24" i="6"/>
  <c r="E23" i="6"/>
  <c r="E21" i="6"/>
  <c r="E19" i="6"/>
  <c r="E18" i="6"/>
  <c r="E16" i="6"/>
  <c r="E13" i="6"/>
  <c r="E11" i="6"/>
  <c r="E9" i="6"/>
  <c r="H55" i="6"/>
  <c r="H57" i="6"/>
  <c r="H54" i="6"/>
  <c r="I79" i="1"/>
  <c r="H79" i="1"/>
  <c r="G79" i="1"/>
  <c r="F79" i="1"/>
  <c r="E79" i="1"/>
  <c r="D79" i="1"/>
  <c r="C79" i="1"/>
  <c r="I49" i="1"/>
  <c r="H49" i="1"/>
  <c r="G49" i="1"/>
  <c r="F49" i="1"/>
  <c r="E49" i="1"/>
  <c r="D49" i="1"/>
  <c r="C49" i="1"/>
  <c r="D18" i="1"/>
  <c r="E18" i="1"/>
  <c r="F18" i="1"/>
  <c r="G18" i="1"/>
  <c r="H18" i="1"/>
  <c r="I18" i="1"/>
  <c r="C18" i="1"/>
  <c r="E46" i="6"/>
  <c r="H42" i="6"/>
  <c r="U45" i="17"/>
  <c r="D45" i="17"/>
  <c r="V45" i="17"/>
  <c r="E45" i="17" s="1"/>
  <c r="W45" i="17"/>
  <c r="G45" i="17" s="1"/>
  <c r="X45" i="17"/>
  <c r="H45" i="17"/>
  <c r="C62" i="17"/>
  <c r="F62" i="17"/>
  <c r="I62" i="17"/>
  <c r="J62" i="17"/>
  <c r="C93" i="17"/>
  <c r="F93" i="17"/>
  <c r="I93" i="17"/>
  <c r="J93" i="17"/>
  <c r="B49" i="1"/>
  <c r="B79" i="1" s="1"/>
  <c r="B32" i="6"/>
  <c r="A29" i="7" s="1"/>
  <c r="A74" i="7" s="1"/>
  <c r="A22" i="28" s="1"/>
  <c r="A78" i="28" s="1"/>
  <c r="P6" i="3"/>
  <c r="M6" i="3"/>
  <c r="E31" i="6"/>
  <c r="F31" i="6"/>
  <c r="H31" i="6" s="1"/>
  <c r="M5" i="3"/>
  <c r="M4" i="3"/>
  <c r="H28" i="6"/>
  <c r="V31" i="17"/>
  <c r="E31" i="17" s="1"/>
  <c r="U31" i="17"/>
  <c r="D31" i="17" s="1"/>
  <c r="U82" i="17"/>
  <c r="V82" i="17"/>
  <c r="W82" i="17"/>
  <c r="G82" i="17"/>
  <c r="X82" i="17"/>
  <c r="H82" i="17" s="1"/>
  <c r="U83" i="17"/>
  <c r="V83" i="17"/>
  <c r="E83" i="17" s="1"/>
  <c r="W83" i="17"/>
  <c r="G83" i="17" s="1"/>
  <c r="X83" i="17"/>
  <c r="H83" i="17" s="1"/>
  <c r="U84" i="17"/>
  <c r="D84" i="17" s="1"/>
  <c r="V84" i="17"/>
  <c r="E84" i="17"/>
  <c r="W84" i="17"/>
  <c r="X84" i="17"/>
  <c r="U85" i="17"/>
  <c r="D85" i="17"/>
  <c r="V85" i="17"/>
  <c r="E85" i="17"/>
  <c r="W85" i="17"/>
  <c r="G85" i="17"/>
  <c r="X85" i="17"/>
  <c r="H85" i="17"/>
  <c r="U86" i="17"/>
  <c r="V86" i="17"/>
  <c r="E86" i="17" s="1"/>
  <c r="W86" i="17"/>
  <c r="X86" i="17"/>
  <c r="U87" i="17"/>
  <c r="V87" i="17"/>
  <c r="W87" i="17"/>
  <c r="G87" i="17" s="1"/>
  <c r="X87" i="17"/>
  <c r="U88" i="17"/>
  <c r="V88" i="17"/>
  <c r="E88" i="17" s="1"/>
  <c r="W88" i="17"/>
  <c r="G88" i="17" s="1"/>
  <c r="X88" i="17"/>
  <c r="H88" i="17"/>
  <c r="U89" i="17"/>
  <c r="D89" i="17" s="1"/>
  <c r="V89" i="17"/>
  <c r="W89" i="17"/>
  <c r="X89" i="17"/>
  <c r="H89" i="17"/>
  <c r="U90" i="17"/>
  <c r="D90" i="17" s="1"/>
  <c r="V90" i="17"/>
  <c r="E90" i="17" s="1"/>
  <c r="W90" i="17"/>
  <c r="X90" i="17"/>
  <c r="H90" i="17"/>
  <c r="U91" i="17"/>
  <c r="D91" i="17"/>
  <c r="V91" i="17"/>
  <c r="W91" i="17"/>
  <c r="G91" i="17"/>
  <c r="X91" i="17"/>
  <c r="H91" i="17" s="1"/>
  <c r="U92" i="17"/>
  <c r="V92" i="17"/>
  <c r="W92" i="17"/>
  <c r="G92" i="17"/>
  <c r="X92" i="17"/>
  <c r="H92" i="17" s="1"/>
  <c r="U93" i="17"/>
  <c r="D93" i="17" s="1"/>
  <c r="V93" i="17"/>
  <c r="E93" i="17"/>
  <c r="W93" i="17"/>
  <c r="G93" i="17" s="1"/>
  <c r="X93" i="17"/>
  <c r="H93" i="17" s="1"/>
  <c r="U94" i="17"/>
  <c r="V94" i="17"/>
  <c r="W94" i="17"/>
  <c r="G94" i="17" s="1"/>
  <c r="X94" i="17"/>
  <c r="H94" i="17" s="1"/>
  <c r="U95" i="17"/>
  <c r="V95" i="17"/>
  <c r="E95" i="17" s="1"/>
  <c r="W95" i="17"/>
  <c r="X95" i="17"/>
  <c r="U96" i="17"/>
  <c r="V96" i="17"/>
  <c r="W96" i="17"/>
  <c r="G96" i="17"/>
  <c r="X96" i="17"/>
  <c r="H96" i="17"/>
  <c r="U97" i="17"/>
  <c r="D97" i="17"/>
  <c r="V97" i="17"/>
  <c r="E97" i="17" s="1"/>
  <c r="W97" i="17"/>
  <c r="X97" i="17"/>
  <c r="H97" i="17" s="1"/>
  <c r="U98" i="17"/>
  <c r="D98" i="17"/>
  <c r="V98" i="17"/>
  <c r="E98" i="17" s="1"/>
  <c r="W98" i="17"/>
  <c r="G98" i="17"/>
  <c r="X98" i="17"/>
  <c r="H98" i="17"/>
  <c r="U99" i="17"/>
  <c r="D99" i="17"/>
  <c r="V99" i="17"/>
  <c r="E99" i="17"/>
  <c r="W99" i="17"/>
  <c r="G99" i="17" s="1"/>
  <c r="X99" i="17"/>
  <c r="H99" i="17"/>
  <c r="U100" i="17"/>
  <c r="V100" i="17"/>
  <c r="E100" i="17" s="1"/>
  <c r="W100" i="17"/>
  <c r="G100" i="17"/>
  <c r="X100" i="17"/>
  <c r="H100" i="17" s="1"/>
  <c r="U101" i="17"/>
  <c r="D101" i="17"/>
  <c r="V101" i="17"/>
  <c r="W101" i="17"/>
  <c r="X101" i="17"/>
  <c r="U102" i="17"/>
  <c r="D102" i="17" s="1"/>
  <c r="V102" i="17"/>
  <c r="E102" i="17" s="1"/>
  <c r="W102" i="17"/>
  <c r="G102" i="17"/>
  <c r="X102" i="17"/>
  <c r="H102" i="17" s="1"/>
  <c r="U103" i="17"/>
  <c r="D103" i="17"/>
  <c r="V103" i="17"/>
  <c r="E103" i="17" s="1"/>
  <c r="W103" i="17"/>
  <c r="X103" i="17"/>
  <c r="U104" i="17"/>
  <c r="D104" i="17"/>
  <c r="V104" i="17"/>
  <c r="E104" i="17"/>
  <c r="W104" i="17"/>
  <c r="G104" i="17" s="1"/>
  <c r="X104" i="17"/>
  <c r="H104" i="17"/>
  <c r="U105" i="17"/>
  <c r="D105" i="17" s="1"/>
  <c r="V105" i="17"/>
  <c r="E105" i="17"/>
  <c r="W105" i="17"/>
  <c r="G105" i="17"/>
  <c r="X105" i="17"/>
  <c r="H105" i="17"/>
  <c r="U106" i="17"/>
  <c r="D106" i="17"/>
  <c r="V106" i="17"/>
  <c r="E106" i="17"/>
  <c r="W106" i="17"/>
  <c r="G106" i="17" s="1"/>
  <c r="X106" i="17"/>
  <c r="H106" i="17"/>
  <c r="X81" i="17"/>
  <c r="W81" i="17"/>
  <c r="V81" i="17"/>
  <c r="U37" i="17"/>
  <c r="D37" i="17"/>
  <c r="V37" i="17"/>
  <c r="E37" i="17" s="1"/>
  <c r="W37" i="17"/>
  <c r="G37" i="17" s="1"/>
  <c r="X37" i="17"/>
  <c r="H37" i="17"/>
  <c r="U38" i="17"/>
  <c r="D38" i="17" s="1"/>
  <c r="V38" i="17"/>
  <c r="W38" i="17"/>
  <c r="G38" i="17"/>
  <c r="X38" i="17"/>
  <c r="U39" i="17"/>
  <c r="D39" i="17" s="1"/>
  <c r="V39" i="17"/>
  <c r="E39" i="17" s="1"/>
  <c r="W39" i="17"/>
  <c r="G39" i="17"/>
  <c r="X39" i="17"/>
  <c r="H39" i="17" s="1"/>
  <c r="U40" i="17"/>
  <c r="D40" i="17" s="1"/>
  <c r="V40" i="17"/>
  <c r="E40" i="17"/>
  <c r="W40" i="17"/>
  <c r="G40" i="17" s="1"/>
  <c r="X40" i="17"/>
  <c r="U41" i="17"/>
  <c r="D41" i="17" s="1"/>
  <c r="V41" i="17"/>
  <c r="E41" i="17"/>
  <c r="W41" i="17"/>
  <c r="X41" i="17"/>
  <c r="H41" i="17" s="1"/>
  <c r="U42" i="17"/>
  <c r="D42" i="17"/>
  <c r="V42" i="17"/>
  <c r="E42" i="17" s="1"/>
  <c r="W42" i="17"/>
  <c r="X42" i="17"/>
  <c r="H42" i="17" s="1"/>
  <c r="U43" i="17"/>
  <c r="D43" i="17"/>
  <c r="V43" i="17"/>
  <c r="E43" i="17"/>
  <c r="W43" i="17"/>
  <c r="X43" i="17"/>
  <c r="U44" i="17"/>
  <c r="D44" i="17" s="1"/>
  <c r="V44" i="17"/>
  <c r="E44" i="17"/>
  <c r="W44" i="17"/>
  <c r="X44" i="17"/>
  <c r="H44" i="17"/>
  <c r="U51" i="17"/>
  <c r="D51" i="17" s="1"/>
  <c r="V51" i="17"/>
  <c r="E51" i="17"/>
  <c r="W51" i="17"/>
  <c r="G51" i="17"/>
  <c r="X51" i="17"/>
  <c r="H51" i="17" s="1"/>
  <c r="U52" i="17"/>
  <c r="V52" i="17"/>
  <c r="E52" i="17"/>
  <c r="W52" i="17"/>
  <c r="X52" i="17"/>
  <c r="U53" i="17"/>
  <c r="V53" i="17"/>
  <c r="E53" i="17"/>
  <c r="W53" i="17"/>
  <c r="G53" i="17" s="1"/>
  <c r="X53" i="17"/>
  <c r="U54" i="17"/>
  <c r="D54" i="17" s="1"/>
  <c r="V54" i="17"/>
  <c r="W54" i="17"/>
  <c r="X54" i="17"/>
  <c r="H54" i="17"/>
  <c r="U55" i="17"/>
  <c r="D55" i="17"/>
  <c r="V55" i="17"/>
  <c r="W55" i="17"/>
  <c r="X55" i="17"/>
  <c r="H55" i="17" s="1"/>
  <c r="U56" i="17"/>
  <c r="V56" i="17"/>
  <c r="W56" i="17"/>
  <c r="G56" i="17" s="1"/>
  <c r="X56" i="17"/>
  <c r="U57" i="17"/>
  <c r="D57" i="17"/>
  <c r="V57" i="17"/>
  <c r="W57" i="17"/>
  <c r="X57" i="17"/>
  <c r="H57" i="17" s="1"/>
  <c r="U58" i="17"/>
  <c r="D58" i="17" s="1"/>
  <c r="V58" i="17"/>
  <c r="W58" i="17"/>
  <c r="G58" i="17" s="1"/>
  <c r="X58" i="17"/>
  <c r="H58" i="17" s="1"/>
  <c r="U59" i="17"/>
  <c r="V59" i="17"/>
  <c r="W59" i="17"/>
  <c r="G59" i="17"/>
  <c r="X59" i="17"/>
  <c r="H59" i="17" s="1"/>
  <c r="U60" i="17"/>
  <c r="D60" i="17"/>
  <c r="V60" i="17"/>
  <c r="W60" i="17"/>
  <c r="G60" i="17"/>
  <c r="X60" i="17"/>
  <c r="H60" i="17" s="1"/>
  <c r="U61" i="17"/>
  <c r="V61" i="17"/>
  <c r="W61" i="17"/>
  <c r="X61" i="17"/>
  <c r="U62" i="17"/>
  <c r="D62" i="17" s="1"/>
  <c r="V62" i="17"/>
  <c r="E62" i="17" s="1"/>
  <c r="W62" i="17"/>
  <c r="G62" i="17"/>
  <c r="X62" i="17"/>
  <c r="H62" i="17" s="1"/>
  <c r="U63" i="17"/>
  <c r="D63" i="17"/>
  <c r="V63" i="17"/>
  <c r="W63" i="17"/>
  <c r="X63" i="17"/>
  <c r="U64" i="17"/>
  <c r="D64" i="17"/>
  <c r="V64" i="17"/>
  <c r="W64" i="17"/>
  <c r="X64" i="17"/>
  <c r="H64" i="17" s="1"/>
  <c r="U65" i="17"/>
  <c r="D65" i="17" s="1"/>
  <c r="V65" i="17"/>
  <c r="E65" i="17"/>
  <c r="W65" i="17"/>
  <c r="G65" i="17" s="1"/>
  <c r="X65" i="17"/>
  <c r="H65" i="17"/>
  <c r="U66" i="17"/>
  <c r="V66" i="17"/>
  <c r="W66" i="17"/>
  <c r="G66" i="17" s="1"/>
  <c r="X66" i="17"/>
  <c r="H66" i="17" s="1"/>
  <c r="U67" i="17"/>
  <c r="D67" i="17"/>
  <c r="V67" i="17"/>
  <c r="W67" i="17"/>
  <c r="G67" i="17"/>
  <c r="X67" i="17"/>
  <c r="H67" i="17"/>
  <c r="U68" i="17"/>
  <c r="D68" i="17" s="1"/>
  <c r="V68" i="17"/>
  <c r="E68" i="17" s="1"/>
  <c r="W68" i="17"/>
  <c r="G68" i="17"/>
  <c r="X68" i="17"/>
  <c r="H68" i="17" s="1"/>
  <c r="U69" i="17"/>
  <c r="V69" i="17"/>
  <c r="E69" i="17"/>
  <c r="W69" i="17"/>
  <c r="G69" i="17"/>
  <c r="X69" i="17"/>
  <c r="H69" i="17" s="1"/>
  <c r="U70" i="17"/>
  <c r="D70" i="17"/>
  <c r="V70" i="17"/>
  <c r="E70" i="17"/>
  <c r="W70" i="17"/>
  <c r="G70" i="17"/>
  <c r="X70" i="17"/>
  <c r="H70" i="17"/>
  <c r="U71" i="17"/>
  <c r="D71" i="17" s="1"/>
  <c r="V71" i="17"/>
  <c r="E71" i="17"/>
  <c r="W71" i="17"/>
  <c r="X71" i="17"/>
  <c r="U72" i="17"/>
  <c r="V72" i="17"/>
  <c r="W72" i="17"/>
  <c r="G72" i="17" s="1"/>
  <c r="X72" i="17"/>
  <c r="H72" i="17" s="1"/>
  <c r="U73" i="17"/>
  <c r="D73" i="17"/>
  <c r="V73" i="17"/>
  <c r="E73" i="17"/>
  <c r="W73" i="17"/>
  <c r="G73" i="17" s="1"/>
  <c r="X73" i="17"/>
  <c r="H73" i="17"/>
  <c r="U74" i="17"/>
  <c r="D74" i="17"/>
  <c r="V74" i="17"/>
  <c r="E74" i="17"/>
  <c r="W74" i="17"/>
  <c r="G74" i="17"/>
  <c r="X74" i="17"/>
  <c r="H74" i="17" s="1"/>
  <c r="U75" i="17"/>
  <c r="D75" i="17"/>
  <c r="V75" i="17"/>
  <c r="W75" i="17"/>
  <c r="G75" i="17" s="1"/>
  <c r="X75" i="17"/>
  <c r="H75" i="17"/>
  <c r="X50" i="17"/>
  <c r="W50" i="17"/>
  <c r="V50" i="17"/>
  <c r="E50" i="17"/>
  <c r="U21" i="17"/>
  <c r="D21" i="17" s="1"/>
  <c r="V21" i="17"/>
  <c r="E21" i="17" s="1"/>
  <c r="W21" i="17"/>
  <c r="G21" i="17" s="1"/>
  <c r="X21" i="17"/>
  <c r="H21" i="17"/>
  <c r="U22" i="17"/>
  <c r="D22" i="17" s="1"/>
  <c r="V22" i="17"/>
  <c r="E22" i="17"/>
  <c r="W22" i="17"/>
  <c r="G22" i="17" s="1"/>
  <c r="X22" i="17"/>
  <c r="H22" i="17" s="1"/>
  <c r="U23" i="17"/>
  <c r="D23" i="17" s="1"/>
  <c r="V23" i="17"/>
  <c r="E23" i="17"/>
  <c r="W23" i="17"/>
  <c r="G23" i="17" s="1"/>
  <c r="X23" i="17"/>
  <c r="H23" i="17"/>
  <c r="U24" i="17"/>
  <c r="D24" i="17"/>
  <c r="V24" i="17"/>
  <c r="E24" i="17"/>
  <c r="W24" i="17"/>
  <c r="G24" i="17"/>
  <c r="X24" i="17"/>
  <c r="H24" i="17"/>
  <c r="U25" i="17"/>
  <c r="D25" i="17" s="1"/>
  <c r="V25" i="17"/>
  <c r="E25" i="17"/>
  <c r="W25" i="17"/>
  <c r="G25" i="17"/>
  <c r="X25" i="17"/>
  <c r="H25" i="17"/>
  <c r="U26" i="17"/>
  <c r="D26" i="17"/>
  <c r="V26" i="17"/>
  <c r="E26" i="17"/>
  <c r="W26" i="17"/>
  <c r="G26" i="17" s="1"/>
  <c r="X26" i="17"/>
  <c r="H26" i="17"/>
  <c r="U27" i="17"/>
  <c r="D27" i="17"/>
  <c r="V27" i="17"/>
  <c r="E27" i="17"/>
  <c r="W27" i="17"/>
  <c r="G27" i="17"/>
  <c r="X27" i="17"/>
  <c r="U28" i="17"/>
  <c r="D28" i="17"/>
  <c r="V28" i="17"/>
  <c r="E28" i="17" s="1"/>
  <c r="W28" i="17"/>
  <c r="G28" i="17" s="1"/>
  <c r="X28" i="17"/>
  <c r="H28" i="17" s="1"/>
  <c r="U29" i="17"/>
  <c r="D29" i="17" s="1"/>
  <c r="V29" i="17"/>
  <c r="E29" i="17" s="1"/>
  <c r="W29" i="17"/>
  <c r="G29" i="17"/>
  <c r="X29" i="17"/>
  <c r="H29" i="17" s="1"/>
  <c r="U30" i="17"/>
  <c r="V30" i="17"/>
  <c r="E30" i="17"/>
  <c r="W30" i="17"/>
  <c r="G30" i="17"/>
  <c r="X30" i="17"/>
  <c r="H30" i="17"/>
  <c r="W31" i="17"/>
  <c r="G31" i="17"/>
  <c r="X31" i="17"/>
  <c r="H31" i="17" s="1"/>
  <c r="U32" i="17"/>
  <c r="D32" i="17"/>
  <c r="V32" i="17"/>
  <c r="E32" i="17"/>
  <c r="W32" i="17"/>
  <c r="G32" i="17"/>
  <c r="X32" i="17"/>
  <c r="H32" i="17"/>
  <c r="U33" i="17"/>
  <c r="D33" i="17"/>
  <c r="V33" i="17"/>
  <c r="E33" i="17" s="1"/>
  <c r="W33" i="17"/>
  <c r="G33" i="17"/>
  <c r="X33" i="17"/>
  <c r="H33" i="17"/>
  <c r="U34" i="17"/>
  <c r="D34" i="17"/>
  <c r="V34" i="17"/>
  <c r="E34" i="17"/>
  <c r="W34" i="17"/>
  <c r="G34" i="17"/>
  <c r="X34" i="17"/>
  <c r="H34" i="17" s="1"/>
  <c r="U35" i="17"/>
  <c r="V35" i="17"/>
  <c r="E35" i="17" s="1"/>
  <c r="W35" i="17"/>
  <c r="G35" i="17" s="1"/>
  <c r="X35" i="17"/>
  <c r="H35" i="17" s="1"/>
  <c r="U36" i="17"/>
  <c r="D36" i="17"/>
  <c r="V36" i="17"/>
  <c r="E36" i="17"/>
  <c r="W36" i="17"/>
  <c r="G36" i="17" s="1"/>
  <c r="X36" i="17"/>
  <c r="H36" i="17"/>
  <c r="X20" i="17"/>
  <c r="H20" i="17"/>
  <c r="W20" i="17"/>
  <c r="G20" i="17"/>
  <c r="V20" i="17"/>
  <c r="E20" i="17"/>
  <c r="C32" i="17"/>
  <c r="F32" i="17"/>
  <c r="I32" i="17"/>
  <c r="B32" i="17"/>
  <c r="B62" i="17" s="1"/>
  <c r="B93" i="17" s="1"/>
  <c r="C104" i="17"/>
  <c r="F104" i="17"/>
  <c r="I104" i="17"/>
  <c r="J104" i="17"/>
  <c r="C105" i="17"/>
  <c r="F105" i="17"/>
  <c r="I105" i="17"/>
  <c r="J105" i="17"/>
  <c r="C106" i="17"/>
  <c r="F106" i="17"/>
  <c r="I106" i="17"/>
  <c r="J106" i="17"/>
  <c r="B42" i="13"/>
  <c r="B37" i="13"/>
  <c r="A42" i="13"/>
  <c r="A37" i="13"/>
  <c r="J32" i="17"/>
  <c r="E32" i="6"/>
  <c r="B4" i="13"/>
  <c r="C34" i="1"/>
  <c r="C47" i="17"/>
  <c r="L47" i="17" s="1"/>
  <c r="C3" i="1"/>
  <c r="C17" i="17" s="1"/>
  <c r="H22" i="29"/>
  <c r="H23" i="29"/>
  <c r="H25" i="29"/>
  <c r="H26" i="29"/>
  <c r="H24" i="29"/>
  <c r="H15" i="29"/>
  <c r="H14" i="29"/>
  <c r="H29" i="29"/>
  <c r="B11" i="35"/>
  <c r="B56" i="35" s="1"/>
  <c r="B12" i="37" s="1"/>
  <c r="E34" i="6"/>
  <c r="E35" i="6"/>
  <c r="E36" i="6"/>
  <c r="B29" i="6"/>
  <c r="B27" i="6"/>
  <c r="E33" i="6"/>
  <c r="B24" i="6"/>
  <c r="B21" i="17"/>
  <c r="B51" i="17" s="1"/>
  <c r="B82" i="17" s="1"/>
  <c r="B22" i="17"/>
  <c r="B52" i="17" s="1"/>
  <c r="B83" i="17" s="1"/>
  <c r="B23" i="17"/>
  <c r="B53" i="17" s="1"/>
  <c r="B84" i="17" s="1"/>
  <c r="B24" i="17"/>
  <c r="B54" i="17" s="1"/>
  <c r="B85" i="17" s="1"/>
  <c r="B25" i="17"/>
  <c r="B55" i="17" s="1"/>
  <c r="B26" i="17"/>
  <c r="B56" i="17" s="1"/>
  <c r="B87" i="17" s="1"/>
  <c r="B27" i="17"/>
  <c r="B57" i="17" s="1"/>
  <c r="B88" i="17" s="1"/>
  <c r="B28" i="17"/>
  <c r="B58" i="17" s="1"/>
  <c r="B89" i="17" s="1"/>
  <c r="B29" i="17"/>
  <c r="B59" i="17" s="1"/>
  <c r="B90" i="17" s="1"/>
  <c r="B30" i="17"/>
  <c r="B60" i="17" s="1"/>
  <c r="B91" i="17" s="1"/>
  <c r="B31" i="17"/>
  <c r="B61" i="17" s="1"/>
  <c r="B92" i="17" s="1"/>
  <c r="B34" i="17"/>
  <c r="B64" i="17" s="1"/>
  <c r="B95" i="17" s="1"/>
  <c r="B35" i="17"/>
  <c r="B65" i="17" s="1"/>
  <c r="B96" i="17" s="1"/>
  <c r="B37" i="17"/>
  <c r="B67" i="17" s="1"/>
  <c r="B98" i="17" s="1"/>
  <c r="B38" i="17"/>
  <c r="B68" i="17"/>
  <c r="B99" i="17" s="1"/>
  <c r="B39" i="17"/>
  <c r="B69" i="17" s="1"/>
  <c r="B100" i="17" s="1"/>
  <c r="B70" i="17"/>
  <c r="B101" i="17"/>
  <c r="B72" i="17"/>
  <c r="B103" i="17"/>
  <c r="B73" i="17"/>
  <c r="B104" i="17"/>
  <c r="B74" i="17"/>
  <c r="B105" i="17"/>
  <c r="C73" i="17"/>
  <c r="F73" i="17"/>
  <c r="I73" i="17"/>
  <c r="J73" i="17"/>
  <c r="C74" i="17"/>
  <c r="F74" i="17"/>
  <c r="I74" i="17"/>
  <c r="J74" i="17"/>
  <c r="C75" i="17"/>
  <c r="E75" i="17"/>
  <c r="F75" i="17"/>
  <c r="I75" i="17"/>
  <c r="J75" i="17"/>
  <c r="C37" i="17"/>
  <c r="F37" i="17"/>
  <c r="I37" i="17"/>
  <c r="J37" i="17"/>
  <c r="C38" i="17"/>
  <c r="E38" i="17"/>
  <c r="F38" i="17"/>
  <c r="H38" i="17"/>
  <c r="I38" i="17"/>
  <c r="J38" i="17"/>
  <c r="C39" i="17"/>
  <c r="F39" i="17"/>
  <c r="I39" i="17"/>
  <c r="J39" i="17"/>
  <c r="C40" i="17"/>
  <c r="F40" i="17"/>
  <c r="H40" i="17"/>
  <c r="I40" i="17"/>
  <c r="J40" i="17"/>
  <c r="C41" i="17"/>
  <c r="F41" i="17"/>
  <c r="G41" i="17"/>
  <c r="I41" i="17"/>
  <c r="J41" i="17"/>
  <c r="C42" i="17"/>
  <c r="F42" i="17"/>
  <c r="G42" i="17"/>
  <c r="I42" i="17"/>
  <c r="J42" i="17"/>
  <c r="C43" i="17"/>
  <c r="F43" i="17"/>
  <c r="G43" i="17"/>
  <c r="H43" i="17"/>
  <c r="I43" i="17"/>
  <c r="J43" i="17"/>
  <c r="C44" i="17"/>
  <c r="F44" i="17"/>
  <c r="G44" i="17"/>
  <c r="I44" i="17"/>
  <c r="J44" i="17"/>
  <c r="C45" i="17"/>
  <c r="F45" i="17"/>
  <c r="I45" i="17"/>
  <c r="J45" i="17"/>
  <c r="B55" i="1"/>
  <c r="B85" i="1"/>
  <c r="B56" i="1"/>
  <c r="B86" i="1"/>
  <c r="B57" i="1"/>
  <c r="B87" i="1" s="1"/>
  <c r="C96" i="17"/>
  <c r="F96" i="17"/>
  <c r="I96" i="17"/>
  <c r="J96" i="17"/>
  <c r="C97" i="17"/>
  <c r="F97" i="17"/>
  <c r="I97" i="17"/>
  <c r="J97" i="17"/>
  <c r="C98" i="17"/>
  <c r="F98" i="17"/>
  <c r="I98" i="17"/>
  <c r="J98" i="17"/>
  <c r="C99" i="17"/>
  <c r="F99" i="17"/>
  <c r="I99" i="17"/>
  <c r="J99" i="17"/>
  <c r="C100" i="17"/>
  <c r="D100" i="17"/>
  <c r="F100" i="17"/>
  <c r="I100" i="17"/>
  <c r="J100" i="17"/>
  <c r="C101" i="17"/>
  <c r="E101" i="17"/>
  <c r="F101" i="17"/>
  <c r="G101" i="17"/>
  <c r="H101" i="17"/>
  <c r="I101" i="17"/>
  <c r="J101" i="17"/>
  <c r="C102" i="17"/>
  <c r="F102" i="17"/>
  <c r="I102" i="17"/>
  <c r="J102" i="17"/>
  <c r="C103" i="17"/>
  <c r="F103" i="17"/>
  <c r="G103" i="17"/>
  <c r="H103" i="17"/>
  <c r="I103" i="17"/>
  <c r="J103" i="17"/>
  <c r="C66" i="17"/>
  <c r="D66" i="17"/>
  <c r="E66" i="17"/>
  <c r="F66" i="17"/>
  <c r="I66" i="17"/>
  <c r="J66" i="17"/>
  <c r="C67" i="17"/>
  <c r="E67" i="17"/>
  <c r="F67" i="17"/>
  <c r="I67" i="17"/>
  <c r="J67" i="17"/>
  <c r="C68" i="17"/>
  <c r="F68" i="17"/>
  <c r="I68" i="17"/>
  <c r="J68" i="17"/>
  <c r="C69" i="17"/>
  <c r="D69" i="17"/>
  <c r="F69" i="17"/>
  <c r="I69" i="17"/>
  <c r="J69" i="17"/>
  <c r="C70" i="17"/>
  <c r="F70" i="17"/>
  <c r="I70" i="17"/>
  <c r="J70" i="17"/>
  <c r="C71" i="17"/>
  <c r="F71" i="17"/>
  <c r="G71" i="17"/>
  <c r="H71" i="17"/>
  <c r="I71" i="17"/>
  <c r="J71" i="17"/>
  <c r="C72" i="17"/>
  <c r="F72" i="17"/>
  <c r="I72" i="17"/>
  <c r="J72" i="17"/>
  <c r="B54" i="1"/>
  <c r="B84" i="1" s="1"/>
  <c r="B53" i="1"/>
  <c r="B71" i="17"/>
  <c r="B102" i="17" s="1"/>
  <c r="B75" i="17"/>
  <c r="B106" i="17" s="1"/>
  <c r="B20" i="17"/>
  <c r="B50" i="17" s="1"/>
  <c r="B81" i="17" s="1"/>
  <c r="C20" i="17"/>
  <c r="U20" i="17"/>
  <c r="D20" i="17"/>
  <c r="F20" i="17"/>
  <c r="I20" i="17"/>
  <c r="J20" i="17"/>
  <c r="C21" i="17"/>
  <c r="F21" i="17"/>
  <c r="I21" i="17"/>
  <c r="J21" i="17"/>
  <c r="C22" i="17"/>
  <c r="F22" i="17"/>
  <c r="I22" i="17"/>
  <c r="J22" i="17"/>
  <c r="C23" i="17"/>
  <c r="F23" i="17"/>
  <c r="I23" i="17"/>
  <c r="J23" i="17"/>
  <c r="C24" i="17"/>
  <c r="F24" i="17"/>
  <c r="I24" i="17"/>
  <c r="J24" i="17"/>
  <c r="C25" i="17"/>
  <c r="F25" i="17"/>
  <c r="I25" i="17"/>
  <c r="J25" i="17"/>
  <c r="C26" i="17"/>
  <c r="F26" i="17"/>
  <c r="I26" i="17"/>
  <c r="J26" i="17"/>
  <c r="C27" i="17"/>
  <c r="F27" i="17"/>
  <c r="H27" i="17"/>
  <c r="I27" i="17"/>
  <c r="J27" i="17"/>
  <c r="C28" i="17"/>
  <c r="F28" i="17"/>
  <c r="I28" i="17"/>
  <c r="J28" i="17"/>
  <c r="C29" i="17"/>
  <c r="F29" i="17"/>
  <c r="I29" i="17"/>
  <c r="J29" i="17"/>
  <c r="C30" i="17"/>
  <c r="D30" i="17"/>
  <c r="F30" i="17"/>
  <c r="I30" i="17"/>
  <c r="J30" i="17"/>
  <c r="C31" i="17"/>
  <c r="F31" i="17"/>
  <c r="I31" i="17"/>
  <c r="J31" i="17"/>
  <c r="C33" i="17"/>
  <c r="F33" i="17"/>
  <c r="I33" i="17"/>
  <c r="J33" i="17"/>
  <c r="C34" i="17"/>
  <c r="F34" i="17"/>
  <c r="I34" i="17"/>
  <c r="J34" i="17"/>
  <c r="C35" i="17"/>
  <c r="D35" i="17"/>
  <c r="F35" i="17"/>
  <c r="I35" i="17"/>
  <c r="J35" i="17"/>
  <c r="C36" i="17"/>
  <c r="F36" i="17"/>
  <c r="I36" i="17"/>
  <c r="J36" i="17"/>
  <c r="B44" i="1"/>
  <c r="B39" i="38"/>
  <c r="B52" i="1"/>
  <c r="B82" i="1" s="1"/>
  <c r="B11" i="6"/>
  <c r="A4" i="7" s="1"/>
  <c r="A57" i="7" s="1"/>
  <c r="A5" i="28" s="1"/>
  <c r="A61" i="28" s="1"/>
  <c r="J50" i="17"/>
  <c r="B37" i="1"/>
  <c r="B67" i="1"/>
  <c r="B13" i="6"/>
  <c r="A5" i="7" s="1"/>
  <c r="A58" i="7" s="1"/>
  <c r="A6" i="28" s="1"/>
  <c r="A62" i="28" s="1"/>
  <c r="I51" i="17"/>
  <c r="B38" i="1"/>
  <c r="B68" i="1"/>
  <c r="B19" i="6"/>
  <c r="A6" i="7" s="1"/>
  <c r="A59" i="7" s="1"/>
  <c r="A7" i="28" s="1"/>
  <c r="A63" i="28" s="1"/>
  <c r="J52" i="17"/>
  <c r="B39" i="1"/>
  <c r="B69" i="1"/>
  <c r="B16" i="6"/>
  <c r="A8" i="7"/>
  <c r="A61" i="7" s="1"/>
  <c r="A9" i="28" s="1"/>
  <c r="A65" i="28" s="1"/>
  <c r="I53" i="17"/>
  <c r="C53" i="17"/>
  <c r="B40" i="1"/>
  <c r="B70" i="1" s="1"/>
  <c r="B18" i="6"/>
  <c r="F54" i="17"/>
  <c r="B41" i="1"/>
  <c r="B71" i="1"/>
  <c r="B9" i="6"/>
  <c r="C50" i="17"/>
  <c r="U50" i="17"/>
  <c r="D50" i="17"/>
  <c r="F50" i="17"/>
  <c r="G50" i="17"/>
  <c r="H50" i="17"/>
  <c r="I50" i="17"/>
  <c r="C51" i="17"/>
  <c r="F51" i="17"/>
  <c r="J51" i="17"/>
  <c r="C52" i="17"/>
  <c r="D52" i="17"/>
  <c r="F52" i="17"/>
  <c r="G52" i="17"/>
  <c r="H52" i="17"/>
  <c r="I52" i="17"/>
  <c r="D53" i="17"/>
  <c r="F53" i="17"/>
  <c r="H53" i="17"/>
  <c r="J53" i="17"/>
  <c r="C54" i="17"/>
  <c r="E54" i="17"/>
  <c r="G54" i="17"/>
  <c r="I54" i="17"/>
  <c r="J54" i="17"/>
  <c r="C55" i="17"/>
  <c r="E55" i="17"/>
  <c r="F55" i="17"/>
  <c r="G55" i="17"/>
  <c r="I55" i="17"/>
  <c r="J55" i="17"/>
  <c r="C56" i="17"/>
  <c r="D56" i="17"/>
  <c r="E56" i="17"/>
  <c r="F56" i="17"/>
  <c r="H56" i="17"/>
  <c r="I56" i="17"/>
  <c r="J56" i="17"/>
  <c r="C57" i="17"/>
  <c r="E57" i="17"/>
  <c r="F57" i="17"/>
  <c r="G57" i="17"/>
  <c r="I57" i="17"/>
  <c r="J57" i="17"/>
  <c r="C58" i="17"/>
  <c r="E58" i="17"/>
  <c r="F58" i="17"/>
  <c r="I58" i="17"/>
  <c r="J58" i="17"/>
  <c r="C59" i="17"/>
  <c r="D59" i="17"/>
  <c r="E59" i="17"/>
  <c r="F59" i="17"/>
  <c r="I59" i="17"/>
  <c r="J59" i="17"/>
  <c r="C60" i="17"/>
  <c r="E60" i="17"/>
  <c r="F60" i="17"/>
  <c r="I60" i="17"/>
  <c r="J60" i="17"/>
  <c r="C61" i="17"/>
  <c r="D61" i="17"/>
  <c r="E61" i="17"/>
  <c r="F61" i="17"/>
  <c r="G61" i="17"/>
  <c r="H61" i="17"/>
  <c r="I61" i="17"/>
  <c r="J61" i="17"/>
  <c r="C63" i="17"/>
  <c r="E63" i="17"/>
  <c r="F63" i="17"/>
  <c r="G63" i="17"/>
  <c r="H63" i="17"/>
  <c r="I63" i="17"/>
  <c r="J63" i="17"/>
  <c r="C64" i="17"/>
  <c r="E64" i="17"/>
  <c r="F64" i="17"/>
  <c r="G64" i="17"/>
  <c r="I64" i="17"/>
  <c r="J64" i="17"/>
  <c r="C65" i="17"/>
  <c r="F65" i="17"/>
  <c r="I65" i="17"/>
  <c r="J65" i="17"/>
  <c r="D72" i="17"/>
  <c r="E72" i="17"/>
  <c r="B42" i="1"/>
  <c r="B43" i="1"/>
  <c r="B73" i="1"/>
  <c r="B45" i="1"/>
  <c r="B75" i="1"/>
  <c r="B46" i="1"/>
  <c r="B76" i="1" s="1"/>
  <c r="B47" i="1"/>
  <c r="B77" i="1"/>
  <c r="B48" i="1"/>
  <c r="B78" i="1"/>
  <c r="B50" i="1"/>
  <c r="B80" i="1"/>
  <c r="B51" i="1"/>
  <c r="B81" i="1"/>
  <c r="H8" i="6"/>
  <c r="E39" i="6"/>
  <c r="B39" i="6"/>
  <c r="E40" i="6"/>
  <c r="B40" i="6"/>
  <c r="E41" i="6"/>
  <c r="B41" i="6"/>
  <c r="E50" i="6"/>
  <c r="H52" i="6"/>
  <c r="H53" i="6"/>
  <c r="B43" i="7"/>
  <c r="E44" i="6"/>
  <c r="B44" i="6"/>
  <c r="E45" i="6"/>
  <c r="B45" i="6"/>
  <c r="E82" i="17"/>
  <c r="G84" i="17"/>
  <c r="E91" i="17"/>
  <c r="E92" i="17"/>
  <c r="G95" i="17"/>
  <c r="H95" i="17"/>
  <c r="D96" i="17"/>
  <c r="E96" i="17"/>
  <c r="G97" i="17"/>
  <c r="U81" i="17"/>
  <c r="D81" i="17" s="1"/>
  <c r="C81" i="17"/>
  <c r="F82" i="17"/>
  <c r="F83" i="17"/>
  <c r="F84" i="17"/>
  <c r="F85" i="17"/>
  <c r="E89" i="17"/>
  <c r="F90" i="17"/>
  <c r="D88" i="17"/>
  <c r="F94" i="17"/>
  <c r="F95" i="17"/>
  <c r="H58" i="6"/>
  <c r="C54" i="7"/>
  <c r="F92" i="17"/>
  <c r="F91" i="17"/>
  <c r="B23" i="6"/>
  <c r="J95" i="17"/>
  <c r="I95" i="17"/>
  <c r="D95" i="17"/>
  <c r="C95" i="17"/>
  <c r="J94" i="17"/>
  <c r="I94" i="17"/>
  <c r="E94" i="17"/>
  <c r="D94" i="17"/>
  <c r="C94" i="17"/>
  <c r="J92" i="17"/>
  <c r="I92" i="17"/>
  <c r="D92" i="17"/>
  <c r="C92" i="17"/>
  <c r="J91" i="17"/>
  <c r="I91" i="17"/>
  <c r="C91" i="17"/>
  <c r="J90" i="17"/>
  <c r="I90" i="17"/>
  <c r="G90" i="17"/>
  <c r="C90" i="17"/>
  <c r="J89" i="17"/>
  <c r="I89" i="17"/>
  <c r="G89" i="17"/>
  <c r="F89" i="17"/>
  <c r="C89" i="17"/>
  <c r="J88" i="17"/>
  <c r="I88" i="17"/>
  <c r="F88" i="17"/>
  <c r="C88" i="17"/>
  <c r="J87" i="17"/>
  <c r="I87" i="17"/>
  <c r="H87" i="17"/>
  <c r="F87" i="17"/>
  <c r="E87" i="17"/>
  <c r="D87" i="17"/>
  <c r="C87" i="17"/>
  <c r="J86" i="17"/>
  <c r="I86" i="17"/>
  <c r="H86" i="17"/>
  <c r="G86" i="17"/>
  <c r="F86" i="17"/>
  <c r="D86" i="17"/>
  <c r="C86" i="17"/>
  <c r="J85" i="17"/>
  <c r="I85" i="17"/>
  <c r="C85" i="17"/>
  <c r="J84" i="17"/>
  <c r="I84" i="17"/>
  <c r="H84" i="17"/>
  <c r="C84" i="17"/>
  <c r="J83" i="17"/>
  <c r="I83" i="17"/>
  <c r="D83" i="17"/>
  <c r="C83" i="17"/>
  <c r="J82" i="17"/>
  <c r="I82" i="17"/>
  <c r="D82" i="17"/>
  <c r="C82" i="17"/>
  <c r="J81" i="17"/>
  <c r="I81" i="17"/>
  <c r="H81" i="17"/>
  <c r="G81" i="17"/>
  <c r="F81" i="17"/>
  <c r="E81" i="17"/>
  <c r="U49" i="17"/>
  <c r="U80" i="17" s="1"/>
  <c r="V49" i="17"/>
  <c r="V80" i="17" s="1"/>
  <c r="W49" i="17"/>
  <c r="W80" i="17"/>
  <c r="X49" i="17"/>
  <c r="X80" i="17" s="1"/>
  <c r="Y49" i="17"/>
  <c r="Y80" i="17" s="1"/>
  <c r="N49" i="17"/>
  <c r="N80" i="17" s="1"/>
  <c r="M49" i="17"/>
  <c r="M80" i="17" s="1"/>
  <c r="B21" i="6"/>
  <c r="A13" i="7"/>
  <c r="A66" i="7" s="1"/>
  <c r="A14" i="28" s="1"/>
  <c r="A70" i="28" s="1"/>
  <c r="A11" i="7"/>
  <c r="A64" i="7" s="1"/>
  <c r="A12" i="28" s="1"/>
  <c r="A68" i="28" s="1"/>
  <c r="A12" i="7"/>
  <c r="A65" i="7" s="1"/>
  <c r="A13" i="28" s="1"/>
  <c r="A69" i="28" s="1"/>
  <c r="B36" i="1"/>
  <c r="B66" i="1" s="1"/>
  <c r="B19" i="17"/>
  <c r="B49" i="17" s="1"/>
  <c r="B80" i="17" s="1"/>
  <c r="L49" i="17"/>
  <c r="L80" i="17" s="1"/>
  <c r="J49" i="17"/>
  <c r="J80" i="17"/>
  <c r="I49" i="17"/>
  <c r="I80" i="17"/>
  <c r="H49" i="17"/>
  <c r="H80" i="17"/>
  <c r="G49" i="17"/>
  <c r="G80" i="17"/>
  <c r="F49" i="17"/>
  <c r="F80" i="17"/>
  <c r="E49" i="17"/>
  <c r="E80" i="17" s="1"/>
  <c r="D49" i="17"/>
  <c r="D80" i="17"/>
  <c r="C49" i="17"/>
  <c r="C80" i="17"/>
  <c r="AF56" i="7"/>
  <c r="AF4" i="28"/>
  <c r="AF60" i="28" s="1"/>
  <c r="A16" i="13"/>
  <c r="A14" i="13"/>
  <c r="A15" i="13"/>
  <c r="A13" i="13"/>
  <c r="AE56" i="7"/>
  <c r="AE4" i="28"/>
  <c r="AE60" i="28" s="1"/>
  <c r="AD56" i="7"/>
  <c r="AD4" i="28" s="1"/>
  <c r="AD60" i="28" s="1"/>
  <c r="AC56" i="7"/>
  <c r="AC4" i="28"/>
  <c r="AC60" i="28"/>
  <c r="AB56" i="7"/>
  <c r="AB4" i="28" s="1"/>
  <c r="AB60" i="28" s="1"/>
  <c r="AA56" i="7"/>
  <c r="AA4" i="28"/>
  <c r="AA60" i="28" s="1"/>
  <c r="Z56" i="7"/>
  <c r="Z4" i="28" s="1"/>
  <c r="Z60" i="28" s="1"/>
  <c r="Y56" i="7"/>
  <c r="Y4" i="28"/>
  <c r="Y60" i="28"/>
  <c r="X56" i="7"/>
  <c r="X4" i="28" s="1"/>
  <c r="X60" i="28" s="1"/>
  <c r="W56" i="7"/>
  <c r="W4" i="28"/>
  <c r="W60" i="28" s="1"/>
  <c r="V56" i="7"/>
  <c r="V4" i="28" s="1"/>
  <c r="V60" i="28"/>
  <c r="U56" i="7"/>
  <c r="U4" i="28"/>
  <c r="U60" i="28"/>
  <c r="T56" i="7"/>
  <c r="T4" i="28" s="1"/>
  <c r="T60" i="28" s="1"/>
  <c r="S56" i="7"/>
  <c r="S4" i="28"/>
  <c r="S60" i="28" s="1"/>
  <c r="R56" i="7"/>
  <c r="R4" i="28" s="1"/>
  <c r="R60" i="28" s="1"/>
  <c r="Q56" i="7"/>
  <c r="Q4" i="28"/>
  <c r="Q60" i="28"/>
  <c r="P56" i="7"/>
  <c r="P4" i="28" s="1"/>
  <c r="P60" i="28" s="1"/>
  <c r="O56" i="7"/>
  <c r="O4" i="28"/>
  <c r="O60" i="28" s="1"/>
  <c r="N56" i="7"/>
  <c r="N4" i="28" s="1"/>
  <c r="N60" i="28" s="1"/>
  <c r="M56" i="7"/>
  <c r="M4" i="28"/>
  <c r="M60" i="28"/>
  <c r="L56" i="7"/>
  <c r="L4" i="28" s="1"/>
  <c r="L60" i="28" s="1"/>
  <c r="K56" i="7"/>
  <c r="K4" i="28"/>
  <c r="K60" i="28" s="1"/>
  <c r="J56" i="7"/>
  <c r="J4" i="28" s="1"/>
  <c r="J60" i="28" s="1"/>
  <c r="I56" i="7"/>
  <c r="I4" i="28" s="1"/>
  <c r="I60" i="28" s="1"/>
  <c r="H56" i="7"/>
  <c r="H4" i="28" s="1"/>
  <c r="H60" i="28" s="1"/>
  <c r="G56" i="7"/>
  <c r="G4" i="28"/>
  <c r="G60" i="28" s="1"/>
  <c r="F56" i="7"/>
  <c r="F4" i="28" s="1"/>
  <c r="F60" i="28" s="1"/>
  <c r="E56" i="7"/>
  <c r="E4" i="28" s="1"/>
  <c r="E60" i="28"/>
  <c r="D56" i="7"/>
  <c r="D4" i="28" s="1"/>
  <c r="D60" i="28" s="1"/>
  <c r="C56" i="7"/>
  <c r="C4" i="28"/>
  <c r="C60" i="28" s="1"/>
  <c r="B56" i="7"/>
  <c r="B4" i="28" s="1"/>
  <c r="B60" i="28" s="1"/>
  <c r="B72" i="1"/>
  <c r="D36" i="1"/>
  <c r="D66" i="1"/>
  <c r="E36" i="1"/>
  <c r="E66" i="1" s="1"/>
  <c r="F36" i="1"/>
  <c r="F66" i="1"/>
  <c r="G36" i="1"/>
  <c r="G66" i="1" s="1"/>
  <c r="H36" i="1"/>
  <c r="H66" i="1" s="1"/>
  <c r="I36" i="1"/>
  <c r="I66" i="1" s="1"/>
  <c r="J36" i="1"/>
  <c r="J66" i="1" s="1"/>
  <c r="C36" i="1"/>
  <c r="C66" i="1" s="1"/>
  <c r="B29" i="29"/>
  <c r="A11" i="35" s="1"/>
  <c r="A56" i="35" s="1"/>
  <c r="A12" i="37" s="1"/>
  <c r="A63" i="37" s="1"/>
  <c r="B74" i="1"/>
  <c r="E21" i="29"/>
  <c r="F21" i="29" s="1"/>
  <c r="H21" i="29" s="1"/>
  <c r="B21" i="35" s="1"/>
  <c r="AX65" i="35"/>
  <c r="D63" i="35"/>
  <c r="AS61" i="35"/>
  <c r="Z52" i="35"/>
  <c r="AL51" i="35"/>
  <c r="AR58" i="35"/>
  <c r="AX50" i="35"/>
  <c r="I65" i="35"/>
  <c r="L62" i="35"/>
  <c r="D61" i="35"/>
  <c r="L59" i="35"/>
  <c r="J4" i="37"/>
  <c r="J55" i="37" s="1"/>
  <c r="V4" i="37"/>
  <c r="V55" i="37" s="1"/>
  <c r="V4" i="34"/>
  <c r="V60" i="34"/>
  <c r="AH4" i="37"/>
  <c r="AH55" i="37" s="1"/>
  <c r="AH4" i="34"/>
  <c r="AH60" i="34"/>
  <c r="AT4" i="34"/>
  <c r="AT60" i="34" s="1"/>
  <c r="AQ50" i="35"/>
  <c r="N65" i="35"/>
  <c r="Q62" i="35"/>
  <c r="I61" i="35"/>
  <c r="L57" i="35"/>
  <c r="O52" i="35"/>
  <c r="R49" i="35"/>
  <c r="J65" i="35"/>
  <c r="H58" i="35"/>
  <c r="T53" i="35"/>
  <c r="N50" i="35"/>
  <c r="V64" i="35"/>
  <c r="Q61" i="35"/>
  <c r="Y59" i="35"/>
  <c r="T55" i="35"/>
  <c r="W50" i="35"/>
  <c r="AD58" i="35"/>
  <c r="AP53" i="35"/>
  <c r="AJ50" i="35"/>
  <c r="AD57" i="35"/>
  <c r="AG52" i="35"/>
  <c r="AD53" i="35"/>
  <c r="X50" i="35"/>
  <c r="U52" i="35"/>
  <c r="AJ4" i="34"/>
  <c r="AJ60" i="34"/>
  <c r="E4" i="37"/>
  <c r="E55" i="37"/>
  <c r="K4" i="37"/>
  <c r="K55" i="37"/>
  <c r="Q4" i="37"/>
  <c r="Q55" i="37"/>
  <c r="W4" i="37"/>
  <c r="W55" i="37"/>
  <c r="AC4" i="37"/>
  <c r="AC55" i="37"/>
  <c r="AI4" i="37"/>
  <c r="AI55" i="37"/>
  <c r="N4" i="34"/>
  <c r="N60" i="34"/>
  <c r="AL4" i="34"/>
  <c r="AL60" i="34"/>
  <c r="AX4" i="34"/>
  <c r="AX60" i="34"/>
  <c r="F4" i="37"/>
  <c r="F55" i="37"/>
  <c r="AD4" i="37"/>
  <c r="AD55" i="37" s="1"/>
  <c r="C4" i="34"/>
  <c r="C60" i="34" s="1"/>
  <c r="O4" i="34"/>
  <c r="O60" i="34" s="1"/>
  <c r="AM4" i="34"/>
  <c r="AM60" i="34"/>
  <c r="AY4" i="34"/>
  <c r="AY60" i="34" s="1"/>
  <c r="AQ4" i="37"/>
  <c r="AQ55" i="37"/>
  <c r="D4" i="34"/>
  <c r="D60" i="34" s="1"/>
  <c r="P4" i="34"/>
  <c r="P60" i="34" s="1"/>
  <c r="AN4" i="34"/>
  <c r="AN60" i="34" s="1"/>
  <c r="G4" i="37"/>
  <c r="G55" i="37"/>
  <c r="S4" i="37"/>
  <c r="S55" i="37" s="1"/>
  <c r="AE4" i="37"/>
  <c r="AE55" i="37"/>
  <c r="AO4" i="34"/>
  <c r="AO60" i="34" s="1"/>
  <c r="AR4" i="37"/>
  <c r="AR55" i="37" s="1"/>
  <c r="T4" i="37"/>
  <c r="T55" i="37" s="1"/>
  <c r="AS4" i="37"/>
  <c r="AS55" i="37" s="1"/>
  <c r="I4" i="37"/>
  <c r="I55" i="37"/>
  <c r="U4" i="37"/>
  <c r="U55" i="37"/>
  <c r="AG4" i="37"/>
  <c r="AG55" i="37" s="1"/>
  <c r="AU4" i="34"/>
  <c r="AU60" i="34" s="1"/>
  <c r="AM61" i="35"/>
  <c r="Y49" i="35"/>
  <c r="T65" i="35"/>
  <c r="AV51" i="35"/>
  <c r="AF57" i="35"/>
  <c r="X62" i="35"/>
  <c r="AS65" i="35"/>
  <c r="AG57" i="35"/>
  <c r="Y62" i="35"/>
  <c r="AT57" i="35"/>
  <c r="N62" i="35"/>
  <c r="AU57" i="35"/>
  <c r="AA62" i="35"/>
  <c r="AV65" i="35"/>
  <c r="AJ57" i="35"/>
  <c r="AB62" i="35"/>
  <c r="G49" i="35"/>
  <c r="AB52" i="35"/>
  <c r="H49" i="35"/>
  <c r="N57" i="35"/>
  <c r="AS49" i="35"/>
  <c r="AP52" i="35"/>
  <c r="AM57" i="35"/>
  <c r="AJ61" i="35"/>
  <c r="AO64" i="35"/>
  <c r="AT49" i="35"/>
  <c r="AQ52" i="35"/>
  <c r="AK61" i="35"/>
  <c r="AG51" i="35"/>
  <c r="AI59" i="35"/>
  <c r="AF63" i="35"/>
  <c r="K50" i="35"/>
  <c r="AE55" i="35"/>
  <c r="AY61" i="35"/>
  <c r="AK49" i="35"/>
  <c r="H55" i="35"/>
  <c r="AB61" i="35"/>
  <c r="AF65" i="35"/>
  <c r="C49" i="35"/>
  <c r="X52" i="35"/>
  <c r="AS57" i="35"/>
  <c r="AK62" i="35"/>
  <c r="P49" i="35"/>
  <c r="AK52" i="35"/>
  <c r="I58" i="35"/>
  <c r="Z62" i="35"/>
  <c r="E49" i="35"/>
  <c r="AL52" i="35"/>
  <c r="J58" i="35"/>
  <c r="K58" i="35"/>
  <c r="AN62" i="35"/>
  <c r="S49" i="35"/>
  <c r="AN52" i="35"/>
  <c r="X58" i="35"/>
  <c r="P63" i="35"/>
  <c r="T49" i="35"/>
  <c r="AC52" i="35"/>
  <c r="Z57" i="35"/>
  <c r="AB64" i="35"/>
  <c r="N53" i="35"/>
  <c r="AV61" i="35"/>
  <c r="D65" i="35"/>
  <c r="I50" i="35"/>
  <c r="O53" i="35"/>
  <c r="C58" i="35"/>
  <c r="AW61" i="35"/>
  <c r="AS51" i="35"/>
  <c r="AP55" i="35"/>
  <c r="AU59" i="35"/>
  <c r="AI50" i="35"/>
  <c r="AQ55" i="35"/>
  <c r="AW49" i="35"/>
  <c r="AF55" i="35"/>
  <c r="AN61" i="35"/>
  <c r="AR65" i="35"/>
  <c r="S58" i="35"/>
  <c r="AV62" i="35"/>
  <c r="O49" i="35"/>
  <c r="AJ52" i="35"/>
  <c r="T58" i="35"/>
  <c r="L63" i="35"/>
  <c r="AB49" i="35"/>
  <c r="U58" i="35"/>
  <c r="AL62" i="35"/>
  <c r="Q49" i="35"/>
  <c r="V58" i="35"/>
  <c r="AY62" i="35"/>
  <c r="F49" i="35"/>
  <c r="AM52" i="35"/>
  <c r="W58" i="35"/>
  <c r="C63" i="35"/>
  <c r="AE49" i="35"/>
  <c r="L53" i="35"/>
  <c r="F57" i="35"/>
  <c r="L50" i="35"/>
  <c r="AR55" i="35"/>
  <c r="K62" i="35"/>
  <c r="N49" i="35"/>
  <c r="AU52" i="35"/>
  <c r="AE58" i="35"/>
  <c r="K63" i="35"/>
  <c r="AA49" i="35"/>
  <c r="AV52" i="35"/>
  <c r="AF58" i="35"/>
  <c r="U53" i="35"/>
  <c r="AG58" i="35"/>
  <c r="M63" i="35"/>
  <c r="AO49" i="35"/>
  <c r="V53" i="35"/>
  <c r="AH58" i="35"/>
  <c r="N63" i="35"/>
  <c r="AD49" i="35"/>
  <c r="W53" i="35"/>
  <c r="AI58" i="35"/>
  <c r="O63" i="35"/>
  <c r="S59" i="35"/>
  <c r="AN63" i="35"/>
  <c r="AR49" i="35"/>
  <c r="M53" i="35"/>
  <c r="AX57" i="35"/>
  <c r="AU61" i="35"/>
  <c r="C65" i="35"/>
  <c r="AF50" i="35"/>
  <c r="AL53" i="35"/>
  <c r="AE62" i="35"/>
  <c r="AB65" i="35"/>
  <c r="AM53" i="35"/>
  <c r="AA58" i="35"/>
  <c r="AF62" i="35"/>
  <c r="W49" i="35"/>
  <c r="T52" i="35"/>
  <c r="Q57" i="35"/>
  <c r="N61" i="35"/>
  <c r="S64" i="35"/>
  <c r="AP57" i="35"/>
  <c r="U63" i="35"/>
  <c r="AV50" i="35"/>
  <c r="AU62" i="35"/>
  <c r="AL49" i="35"/>
  <c r="AE53" i="35"/>
  <c r="AQ58" i="35"/>
  <c r="W63" i="35"/>
  <c r="AM49" i="35"/>
  <c r="AF53" i="35"/>
  <c r="AJ63" i="35"/>
  <c r="C50" i="35"/>
  <c r="AG53" i="35"/>
  <c r="P59" i="35"/>
  <c r="D50" i="35"/>
  <c r="AH53" i="35"/>
  <c r="AT58" i="35"/>
  <c r="Z63" i="35"/>
  <c r="AP49" i="35"/>
  <c r="AU58" i="35"/>
  <c r="AA63" i="35"/>
  <c r="F50" i="35"/>
  <c r="AV53" i="35"/>
  <c r="AE59" i="35"/>
  <c r="C64" i="35"/>
  <c r="Y53" i="35"/>
  <c r="M58" i="35"/>
  <c r="R62" i="35"/>
  <c r="AR50" i="35"/>
  <c r="AX53" i="35"/>
  <c r="AL58" i="35"/>
  <c r="AQ62" i="35"/>
  <c r="AN65" i="35"/>
  <c r="AS50" i="35"/>
  <c r="AY53" i="35"/>
  <c r="AM58" i="35"/>
  <c r="AI49" i="35"/>
  <c r="AF52" i="35"/>
  <c r="Z61" i="35"/>
  <c r="AE64" i="35"/>
  <c r="AH51" i="35"/>
  <c r="E58" i="35"/>
  <c r="AG63" i="35"/>
  <c r="K51" i="35"/>
  <c r="AE57" i="35"/>
  <c r="J63" i="35"/>
  <c r="AX49" i="35"/>
  <c r="N59" i="35"/>
  <c r="AY49" i="35"/>
  <c r="AR53" i="35"/>
  <c r="AA59" i="35"/>
  <c r="AV63" i="35"/>
  <c r="O50" i="35"/>
  <c r="AS53" i="35"/>
  <c r="AB59" i="35"/>
  <c r="AW63" i="35"/>
  <c r="P50" i="35"/>
  <c r="AT53" i="35"/>
  <c r="Q50" i="35"/>
  <c r="AU53" i="35"/>
  <c r="R59" i="35"/>
  <c r="AM63" i="35"/>
  <c r="AD50" i="35"/>
  <c r="N55" i="35"/>
  <c r="AQ59" i="35"/>
  <c r="O64" i="35"/>
  <c r="S50" i="35"/>
  <c r="AK53" i="35"/>
  <c r="Y58" i="35"/>
  <c r="G51" i="35"/>
  <c r="D55" i="35"/>
  <c r="AX58" i="35"/>
  <c r="F63" i="35"/>
  <c r="B60" i="35"/>
  <c r="B16" i="37" s="1"/>
  <c r="H51" i="35"/>
  <c r="E55" i="35"/>
  <c r="AY58" i="35"/>
  <c r="G63" i="35"/>
  <c r="AR52" i="35"/>
  <c r="AO57" i="35"/>
  <c r="AL61" i="35"/>
  <c r="AQ64" i="35"/>
  <c r="AT51" i="35"/>
  <c r="AC58" i="35"/>
  <c r="AS63" i="35"/>
  <c r="AI51" i="35"/>
  <c r="AQ57" i="35"/>
  <c r="AH63" i="35"/>
  <c r="Y50" i="35"/>
  <c r="Z59" i="35"/>
  <c r="AU63" i="35"/>
  <c r="Z50" i="35"/>
  <c r="J55" i="35"/>
  <c r="AM59" i="35"/>
  <c r="K64" i="35"/>
  <c r="AA50" i="35"/>
  <c r="K55" i="35"/>
  <c r="C60" i="35"/>
  <c r="L64" i="35"/>
  <c r="AB50" i="35"/>
  <c r="AC59" i="35"/>
  <c r="M64" i="35"/>
  <c r="AC50" i="35"/>
  <c r="J54" i="35"/>
  <c r="AD59" i="35"/>
  <c r="AY63" i="35"/>
  <c r="AP50" i="35"/>
  <c r="Z55" i="35"/>
  <c r="F60" i="35"/>
  <c r="AA64" i="35"/>
  <c r="AE50" i="35"/>
  <c r="AK58" i="35"/>
  <c r="AP62" i="35"/>
  <c r="AM65" i="35"/>
  <c r="S51" i="35"/>
  <c r="P55" i="35"/>
  <c r="U59" i="35"/>
  <c r="R63" i="35"/>
  <c r="T51" i="35"/>
  <c r="Q55" i="35"/>
  <c r="V59" i="35"/>
  <c r="S63" i="35"/>
  <c r="P53" i="35"/>
  <c r="D58" i="35"/>
  <c r="AX61" i="35"/>
  <c r="F65" i="35"/>
  <c r="Q53" i="35"/>
  <c r="AJ59" i="35"/>
  <c r="G65" i="35"/>
  <c r="AH52" i="35"/>
  <c r="M59" i="35"/>
  <c r="AG64" i="35"/>
  <c r="L51" i="35"/>
  <c r="E61" i="35"/>
  <c r="AT64" i="35"/>
  <c r="Y51" i="35"/>
  <c r="AT55" i="35"/>
  <c r="R61" i="35"/>
  <c r="AU64" i="35"/>
  <c r="Z51" i="35"/>
  <c r="J57" i="35"/>
  <c r="S61" i="35"/>
  <c r="AV64" i="35"/>
  <c r="O51" i="35"/>
  <c r="AF61" i="35"/>
  <c r="L65" i="35"/>
  <c r="P51" i="35"/>
  <c r="AK55" i="35"/>
  <c r="U61" i="35"/>
  <c r="M65" i="35"/>
  <c r="AO51" i="35"/>
  <c r="M57" i="35"/>
  <c r="AH61" i="35"/>
  <c r="Z65" i="35"/>
  <c r="AD51" i="35"/>
  <c r="AA55" i="35"/>
  <c r="AF59" i="35"/>
  <c r="AC63" i="35"/>
  <c r="I49" i="35"/>
  <c r="F52" i="35"/>
  <c r="C57" i="35"/>
  <c r="H60" i="35"/>
  <c r="E64" i="35"/>
  <c r="J49" i="35"/>
  <c r="G52" i="35"/>
  <c r="D57" i="35"/>
  <c r="I60" i="35"/>
  <c r="F64" i="35"/>
  <c r="AT50" i="35"/>
  <c r="C54" i="35"/>
  <c r="AN58" i="35"/>
  <c r="AS62" i="35"/>
  <c r="AP65" i="35"/>
  <c r="AO53" i="35"/>
  <c r="AV59" i="35"/>
  <c r="AE65" i="35"/>
  <c r="AT52" i="35"/>
  <c r="AK59" i="35"/>
  <c r="AS64" i="35"/>
  <c r="X51" i="35"/>
  <c r="AS55" i="35"/>
  <c r="AC61" i="35"/>
  <c r="U65" i="35"/>
  <c r="AK51" i="35"/>
  <c r="I57" i="35"/>
  <c r="AD61" i="35"/>
  <c r="V65" i="35"/>
  <c r="AX51" i="35"/>
  <c r="V57" i="35"/>
  <c r="AE61" i="35"/>
  <c r="K65" i="35"/>
  <c r="AA51" i="35"/>
  <c r="K57" i="35"/>
  <c r="AR61" i="35"/>
  <c r="X65" i="35"/>
  <c r="AB51" i="35"/>
  <c r="AW55" i="35"/>
  <c r="AG61" i="35"/>
  <c r="Y65" i="35"/>
  <c r="D52" i="35"/>
  <c r="Y57" i="35"/>
  <c r="AT61" i="35"/>
  <c r="AL65" i="35"/>
  <c r="AP51" i="35"/>
  <c r="AM55" i="35"/>
  <c r="AR59" i="35"/>
  <c r="AO63" i="35"/>
  <c r="U49" i="35"/>
  <c r="R52" i="35"/>
  <c r="O57" i="35"/>
  <c r="L61" i="35"/>
  <c r="Q64" i="35"/>
  <c r="V49" i="35"/>
  <c r="S52" i="35"/>
  <c r="P57" i="35"/>
  <c r="M61" i="35"/>
  <c r="R64" i="35"/>
  <c r="I51" i="35"/>
  <c r="F55" i="35"/>
  <c r="K59" i="35"/>
  <c r="H63" i="35"/>
  <c r="L49" i="35"/>
  <c r="D54" i="35"/>
  <c r="C61" i="35"/>
  <c r="AQ65" i="35"/>
  <c r="R53" i="35"/>
  <c r="AW59" i="35"/>
  <c r="H65" i="35"/>
  <c r="AJ51" i="35"/>
  <c r="H57" i="35"/>
  <c r="AO61" i="35"/>
  <c r="AG65" i="35"/>
  <c r="AW51" i="35"/>
  <c r="U57" i="35"/>
  <c r="AP61" i="35"/>
  <c r="AH65" i="35"/>
  <c r="M52" i="35"/>
  <c r="AH57" i="35"/>
  <c r="AQ61" i="35"/>
  <c r="W65" i="35"/>
  <c r="AY51" i="35"/>
  <c r="AI57" i="35"/>
  <c r="O62" i="35"/>
  <c r="AJ65" i="35"/>
  <c r="AN51" i="35"/>
  <c r="X57" i="35"/>
  <c r="P62" i="35"/>
  <c r="AW65" i="35"/>
  <c r="P52" i="35"/>
  <c r="AK57" i="35"/>
  <c r="AC62" i="35"/>
  <c r="AC65" i="35"/>
  <c r="E52" i="35"/>
  <c r="AY55" i="35"/>
  <c r="G60" i="35"/>
  <c r="D64" i="35"/>
  <c r="AG49" i="35"/>
  <c r="AD52" i="35"/>
  <c r="AA57" i="35"/>
  <c r="X61" i="35"/>
  <c r="AC64" i="35"/>
  <c r="AH49" i="35"/>
  <c r="AE52" i="35"/>
  <c r="AB57" i="35"/>
  <c r="Y61" i="35"/>
  <c r="AD64" i="35"/>
  <c r="U51" i="35"/>
  <c r="R55" i="35"/>
  <c r="W59" i="35"/>
  <c r="T63" i="35"/>
  <c r="C61" i="7"/>
  <c r="U62" i="35"/>
  <c r="AE63" i="35"/>
  <c r="AE51" i="35"/>
  <c r="C55" i="35"/>
  <c r="AL55" i="35"/>
  <c r="AK64" i="35"/>
  <c r="W55" i="35"/>
  <c r="J64" i="35"/>
  <c r="AU51" i="35"/>
  <c r="AP63" i="35"/>
  <c r="Q65" i="35"/>
  <c r="R51" i="35"/>
  <c r="Q51" i="35"/>
  <c r="D60" i="35"/>
  <c r="AM50" i="35"/>
  <c r="AL59" i="35"/>
  <c r="H64" i="35"/>
  <c r="U55" i="35"/>
  <c r="X59" i="35"/>
  <c r="AS59" i="35"/>
  <c r="Q63" i="35"/>
  <c r="AY64" i="35"/>
  <c r="E60" i="35"/>
  <c r="C51" i="35"/>
  <c r="F61" i="35"/>
  <c r="AW50" i="35"/>
  <c r="AS52" i="35"/>
  <c r="AB53" i="35"/>
  <c r="AC55" i="35"/>
  <c r="AG59" i="35"/>
  <c r="E63" i="35"/>
  <c r="AM64" i="35"/>
  <c r="AP59" i="35"/>
  <c r="AN50" i="35"/>
  <c r="AY59" i="35"/>
  <c r="AK50" i="35"/>
  <c r="I52" i="35"/>
  <c r="AV4" i="37"/>
  <c r="AV55" i="37"/>
  <c r="B7" i="35"/>
  <c r="B52" i="35" s="1"/>
  <c r="B8" i="37" s="1"/>
  <c r="B59" i="37" s="1"/>
  <c r="A9" i="7"/>
  <c r="A62" i="7" s="1"/>
  <c r="A10" i="28" s="1"/>
  <c r="A66" i="28" s="1"/>
  <c r="AK4" i="34"/>
  <c r="AK60" i="34"/>
  <c r="AK4" i="37"/>
  <c r="AK55" i="37" s="1"/>
  <c r="I45" i="13"/>
  <c r="A45" i="13"/>
  <c r="E45" i="13"/>
  <c r="C60" i="7"/>
  <c r="C73" i="7"/>
  <c r="C62" i="7"/>
  <c r="C74" i="7"/>
  <c r="C66" i="7"/>
  <c r="X49" i="35"/>
  <c r="I55" i="35"/>
  <c r="X64" i="35"/>
  <c r="AC51" i="35"/>
  <c r="T59" i="35"/>
  <c r="P65" i="35"/>
  <c r="K49" i="35"/>
  <c r="AD65" i="35"/>
  <c r="AX59" i="35"/>
  <c r="AJ64" i="35"/>
  <c r="AX55" i="35"/>
  <c r="AI61" i="35"/>
  <c r="E65" i="35"/>
  <c r="V50" i="35"/>
  <c r="AH64" i="35"/>
  <c r="L55" i="35"/>
  <c r="AJ58" i="35"/>
  <c r="AN64" i="35"/>
  <c r="U50" i="35"/>
  <c r="AH50" i="35"/>
  <c r="AL50" i="35"/>
  <c r="X55" i="35"/>
  <c r="J61" i="35"/>
  <c r="AY65" i="35"/>
  <c r="AF51" i="35"/>
  <c r="H52" i="35"/>
  <c r="B54" i="35"/>
  <c r="B10" i="37" s="1"/>
  <c r="M51" i="35"/>
  <c r="H61" i="35"/>
  <c r="V61" i="35"/>
  <c r="T50" i="35"/>
  <c r="AR51" i="35"/>
  <c r="AN53" i="35"/>
  <c r="AO58" i="35"/>
  <c r="V55" i="35"/>
  <c r="AW64" i="35"/>
  <c r="AB63" i="35"/>
  <c r="AQ51" i="35"/>
  <c r="AA53" i="35"/>
  <c r="E57" i="35"/>
  <c r="AR64" i="35"/>
  <c r="AH55" i="35"/>
  <c r="AO50" i="35"/>
  <c r="AF49" i="35"/>
  <c r="Z53" i="35"/>
  <c r="AO55" i="35"/>
  <c r="P58" i="35"/>
  <c r="V52" i="35"/>
  <c r="W64" i="35"/>
  <c r="D51" i="35"/>
  <c r="F51" i="35"/>
  <c r="AB55" i="35"/>
  <c r="O58" i="35"/>
  <c r="AB58" i="35"/>
  <c r="AT63" i="35"/>
  <c r="AU55" i="35"/>
  <c r="Z64" i="35"/>
  <c r="AL57" i="35"/>
  <c r="S62" i="35"/>
  <c r="T62" i="35"/>
  <c r="G64" i="35"/>
  <c r="AW58" i="35"/>
  <c r="AV58" i="35"/>
  <c r="AC49" i="35"/>
  <c r="G58" i="35"/>
  <c r="L58" i="35"/>
  <c r="AU65" i="35"/>
  <c r="T57" i="35"/>
  <c r="AJ49" i="35"/>
  <c r="F58" i="35"/>
  <c r="AN55" i="35"/>
  <c r="K54" i="35"/>
  <c r="AK63" i="35"/>
  <c r="S53" i="35"/>
  <c r="X53" i="35"/>
  <c r="AX62" i="35"/>
  <c r="W52" i="35"/>
  <c r="AP58" i="35"/>
  <c r="N58" i="35"/>
  <c r="E51" i="35"/>
  <c r="AN59" i="35"/>
  <c r="M50" i="35"/>
  <c r="R50" i="35"/>
  <c r="AS58" i="35"/>
  <c r="Z49" i="35"/>
  <c r="W62" i="35"/>
  <c r="U64" i="35"/>
  <c r="AD63" i="35"/>
  <c r="B53" i="35"/>
  <c r="B9" i="37" s="1"/>
  <c r="AX64" i="35"/>
  <c r="AI55" i="35"/>
  <c r="I64" i="35"/>
  <c r="N64" i="35"/>
  <c r="H54" i="35"/>
  <c r="V63" i="35"/>
  <c r="R58" i="35"/>
  <c r="L52" i="35"/>
  <c r="C52" i="35"/>
  <c r="P64" i="35"/>
  <c r="AD55" i="35"/>
  <c r="AJ62" i="35"/>
  <c r="AM62" i="35"/>
  <c r="W61" i="35"/>
  <c r="AO65" i="35"/>
  <c r="AI52" i="35"/>
  <c r="AX52" i="35"/>
  <c r="AT62" i="35"/>
  <c r="AN49" i="35"/>
  <c r="AQ49" i="35"/>
  <c r="Z58" i="35"/>
  <c r="V51" i="35"/>
  <c r="O59" i="35"/>
  <c r="AI53" i="35"/>
  <c r="O65" i="35"/>
  <c r="AC57" i="35"/>
  <c r="AI63" i="35"/>
  <c r="AX63" i="35"/>
  <c r="AD62" i="35"/>
  <c r="AU49" i="35"/>
  <c r="F54" i="35"/>
  <c r="I54" i="35"/>
  <c r="AW53" i="35"/>
  <c r="J50" i="35"/>
  <c r="AG55" i="35"/>
  <c r="AV55" i="35"/>
  <c r="AI64" i="35"/>
  <c r="AH59" i="35"/>
  <c r="N51" i="35"/>
  <c r="AT59" i="35"/>
  <c r="G61" i="35"/>
  <c r="AQ63" i="35"/>
  <c r="Y55" i="35"/>
  <c r="AG62" i="35"/>
  <c r="Y64" i="35"/>
  <c r="G54" i="35"/>
  <c r="I63" i="35"/>
  <c r="C65" i="7"/>
  <c r="J3" i="13"/>
  <c r="B12" i="35"/>
  <c r="B57" i="35" s="1"/>
  <c r="B13" i="37" s="1"/>
  <c r="B24" i="35"/>
  <c r="B65" i="35" s="1"/>
  <c r="B21" i="37" s="1"/>
  <c r="B72" i="37" s="1"/>
  <c r="B13" i="35"/>
  <c r="B58" i="35" s="1"/>
  <c r="B14" i="37" s="1"/>
  <c r="B22" i="35"/>
  <c r="B63" i="35" s="1"/>
  <c r="B19" i="37" s="1"/>
  <c r="B23" i="35"/>
  <c r="B64" i="35" s="1"/>
  <c r="B20" i="37" s="1"/>
  <c r="C64" i="7"/>
  <c r="B83" i="1"/>
  <c r="B50" i="6"/>
  <c r="A26" i="7" s="1"/>
  <c r="A73" i="7" s="1"/>
  <c r="A21" i="28" s="1"/>
  <c r="A77" i="28" s="1"/>
  <c r="AP4" i="34"/>
  <c r="AP60" i="34" s="1"/>
  <c r="A62" i="32"/>
  <c r="A10" i="34" s="1"/>
  <c r="A66" i="34" s="1"/>
  <c r="B33" i="29"/>
  <c r="B50" i="38"/>
  <c r="A26" i="32" s="1"/>
  <c r="A73" i="32" s="1"/>
  <c r="A21" i="34" s="1"/>
  <c r="A77" i="34" s="1"/>
  <c r="A31" i="32"/>
  <c r="A76" i="32" s="1"/>
  <c r="A24" i="34" s="1"/>
  <c r="A80" i="34" s="1"/>
  <c r="F3" i="13"/>
  <c r="C59" i="7"/>
  <c r="A30" i="32"/>
  <c r="A8" i="32"/>
  <c r="A61" i="32"/>
  <c r="A9" i="34" s="1"/>
  <c r="A65" i="34" s="1"/>
  <c r="B4" i="35"/>
  <c r="B49" i="35" s="1"/>
  <c r="B5" i="37" s="1"/>
  <c r="B47" i="6"/>
  <c r="B47" i="38"/>
  <c r="A32" i="32"/>
  <c r="D58" i="32"/>
  <c r="C59" i="32"/>
  <c r="D62" i="32"/>
  <c r="C63" i="32"/>
  <c r="D66" i="32"/>
  <c r="D74" i="32"/>
  <c r="D75" i="32"/>
  <c r="C74" i="32"/>
  <c r="D73" i="32"/>
  <c r="C73" i="32"/>
  <c r="D68" i="32"/>
  <c r="C68" i="32"/>
  <c r="D67" i="32"/>
  <c r="E58" i="32"/>
  <c r="D59" i="32"/>
  <c r="C60" i="32"/>
  <c r="D63" i="32"/>
  <c r="C64" i="32"/>
  <c r="C67" i="32"/>
  <c r="C57" i="32"/>
  <c r="D60" i="32"/>
  <c r="C61" i="32"/>
  <c r="D64" i="32"/>
  <c r="C65" i="32"/>
  <c r="D57" i="32"/>
  <c r="C58" i="32"/>
  <c r="D61" i="32"/>
  <c r="C62" i="32"/>
  <c r="D65" i="32"/>
  <c r="C66" i="32"/>
  <c r="H13" i="29"/>
  <c r="B5" i="35"/>
  <c r="B50" i="35" s="1"/>
  <c r="B6" i="37" s="1"/>
  <c r="B57" i="37" s="1"/>
  <c r="B6" i="35"/>
  <c r="G20" i="30"/>
  <c r="H20" i="30"/>
  <c r="D20" i="30"/>
  <c r="J6" i="13"/>
  <c r="B3" i="13"/>
  <c r="Z4" i="34"/>
  <c r="Z60" i="34" s="1"/>
  <c r="Z4" i="37"/>
  <c r="Z55" i="37"/>
  <c r="B33" i="6"/>
  <c r="B58" i="1"/>
  <c r="B4" i="34"/>
  <c r="B60" i="34"/>
  <c r="B4" i="37"/>
  <c r="B55" i="37" s="1"/>
  <c r="O55" i="35"/>
  <c r="AA4" i="34"/>
  <c r="AA60" i="34"/>
  <c r="AA4" i="37"/>
  <c r="AA55" i="37" s="1"/>
  <c r="B35" i="6"/>
  <c r="B60" i="1"/>
  <c r="B90" i="1" s="1"/>
  <c r="E43" i="13"/>
  <c r="M4" i="34"/>
  <c r="M60" i="34" s="1"/>
  <c r="AB4" i="37"/>
  <c r="AB55" i="37" s="1"/>
  <c r="AW4" i="37"/>
  <c r="AW55" i="37"/>
  <c r="I44" i="13"/>
  <c r="B59" i="1"/>
  <c r="B89" i="1" s="1"/>
  <c r="B34" i="6"/>
  <c r="A31" i="7" s="1"/>
  <c r="A76" i="7" s="1"/>
  <c r="A24" i="28" s="1"/>
  <c r="A80" i="28" s="1"/>
  <c r="AT65" i="35"/>
  <c r="J51" i="35"/>
  <c r="AJ55" i="35"/>
  <c r="W51" i="35"/>
  <c r="AF64" i="35"/>
  <c r="AW62" i="35"/>
  <c r="AM51" i="35"/>
  <c r="S65" i="35"/>
  <c r="AA61" i="35"/>
  <c r="P61" i="35"/>
  <c r="AI65" i="35"/>
  <c r="Q52" i="35"/>
  <c r="AP64" i="35"/>
  <c r="AR57" i="35"/>
  <c r="AK65" i="35"/>
  <c r="H50" i="35"/>
  <c r="AR63" i="35"/>
  <c r="M55" i="35"/>
  <c r="R65" i="35"/>
  <c r="X4" i="37"/>
  <c r="X55" i="37"/>
  <c r="A46" i="13"/>
  <c r="C8" i="35"/>
  <c r="D8" i="35" s="1"/>
  <c r="E20" i="30"/>
  <c r="B88" i="1"/>
  <c r="A32" i="7"/>
  <c r="A77" i="7" s="1"/>
  <c r="A25" i="28" s="1"/>
  <c r="A81" i="28" s="1"/>
  <c r="C53" i="35"/>
  <c r="C15" i="35"/>
  <c r="A75" i="32"/>
  <c r="A23" i="34" s="1"/>
  <c r="A79" i="34" s="1"/>
  <c r="A77" i="32"/>
  <c r="A25" i="34" s="1"/>
  <c r="A81" i="34" s="1"/>
  <c r="C12" i="37"/>
  <c r="C63" i="37" s="1"/>
  <c r="B63" i="37"/>
  <c r="F11" i="6"/>
  <c r="H11" i="6" s="1"/>
  <c r="B4" i="7" s="1"/>
  <c r="B57" i="7" s="1"/>
  <c r="B5" i="28" s="1"/>
  <c r="C58" i="7"/>
  <c r="C57" i="7"/>
  <c r="C67" i="7"/>
  <c r="C63" i="7"/>
  <c r="D54" i="7"/>
  <c r="I43" i="13"/>
  <c r="A43" i="13"/>
  <c r="B36" i="6"/>
  <c r="A33" i="7" s="1"/>
  <c r="A78" i="7" s="1"/>
  <c r="A26" i="28" s="1"/>
  <c r="A82" i="28" s="1"/>
  <c r="D67" i="7"/>
  <c r="D74" i="7"/>
  <c r="D63" i="7"/>
  <c r="D59" i="7"/>
  <c r="D75" i="7"/>
  <c r="D58" i="7"/>
  <c r="D64" i="7"/>
  <c r="D12" i="37"/>
  <c r="D63" i="37" s="1"/>
  <c r="B62" i="35" l="1"/>
  <c r="B18" i="37" s="1"/>
  <c r="B69" i="37" s="1"/>
  <c r="C21" i="35"/>
  <c r="D21" i="35" s="1"/>
  <c r="E8" i="35"/>
  <c r="D15" i="35"/>
  <c r="D53" i="35"/>
  <c r="C62" i="35"/>
  <c r="C18" i="37" s="1"/>
  <c r="C69" i="37" s="1"/>
  <c r="E12" i="37"/>
  <c r="K19" i="35"/>
  <c r="F11" i="38"/>
  <c r="H11" i="38" s="1"/>
  <c r="B4" i="32" s="1"/>
  <c r="B57" i="32" s="1"/>
  <c r="B5" i="34" s="1"/>
  <c r="C5" i="34" s="1"/>
  <c r="B25" i="35"/>
  <c r="F16" i="38"/>
  <c r="H16" i="38" s="1"/>
  <c r="B8" i="32" s="1"/>
  <c r="B61" i="32" s="1"/>
  <c r="B9" i="34" s="1"/>
  <c r="C9" i="34" s="1"/>
  <c r="D9" i="34" s="1"/>
  <c r="F46" i="38"/>
  <c r="H46" i="38" s="1"/>
  <c r="D23" i="32" s="1"/>
  <c r="D70" i="32" s="1"/>
  <c r="A4" i="32"/>
  <c r="A57" i="32" s="1"/>
  <c r="A5" i="34" s="1"/>
  <c r="A61" i="34" s="1"/>
  <c r="F13" i="38"/>
  <c r="H13" i="38" s="1"/>
  <c r="B5" i="32" s="1"/>
  <c r="B58" i="32" s="1"/>
  <c r="B6" i="34" s="1"/>
  <c r="B62" i="34" s="1"/>
  <c r="F14" i="38"/>
  <c r="H14" i="38" s="1"/>
  <c r="B11" i="32" s="1"/>
  <c r="B64" i="32" s="1"/>
  <c r="B12" i="34" s="1"/>
  <c r="B68" i="34" s="1"/>
  <c r="C5" i="37"/>
  <c r="C56" i="37" s="1"/>
  <c r="C11" i="37"/>
  <c r="D11" i="37" s="1"/>
  <c r="D62" i="37" s="1"/>
  <c r="C10" i="37"/>
  <c r="B62" i="37"/>
  <c r="C21" i="37"/>
  <c r="C72" i="37" s="1"/>
  <c r="B61" i="37"/>
  <c r="B64" i="37"/>
  <c r="C13" i="37"/>
  <c r="C64" i="37" s="1"/>
  <c r="C6" i="37"/>
  <c r="C8" i="37"/>
  <c r="C17" i="37"/>
  <c r="B65" i="37"/>
  <c r="C14" i="37"/>
  <c r="C19" i="37"/>
  <c r="B70" i="37"/>
  <c r="E21" i="35"/>
  <c r="D62" i="35"/>
  <c r="D57" i="7"/>
  <c r="D68" i="7"/>
  <c r="E54" i="7"/>
  <c r="D62" i="7"/>
  <c r="D60" i="7"/>
  <c r="D65" i="7"/>
  <c r="D61" i="7"/>
  <c r="D66" i="7"/>
  <c r="B51" i="35"/>
  <c r="B7" i="37" s="1"/>
  <c r="B15" i="35"/>
  <c r="A30" i="7"/>
  <c r="A75" i="7" s="1"/>
  <c r="A23" i="28" s="1"/>
  <c r="A79" i="28" s="1"/>
  <c r="D73" i="7"/>
  <c r="B61" i="28"/>
  <c r="C5" i="28"/>
  <c r="C18" i="35"/>
  <c r="B59" i="35"/>
  <c r="B15" i="37" s="1"/>
  <c r="B94" i="17"/>
  <c r="F47" i="38"/>
  <c r="H47" i="38" s="1"/>
  <c r="F34" i="38"/>
  <c r="H34" i="38" s="1"/>
  <c r="B31" i="32" s="1"/>
  <c r="F50" i="38"/>
  <c r="H50" i="38" s="1"/>
  <c r="B26" i="32" s="1"/>
  <c r="B73" i="32" s="1"/>
  <c r="B21" i="34" s="1"/>
  <c r="F24" i="38"/>
  <c r="H24" i="38" s="1"/>
  <c r="F27" i="38"/>
  <c r="H27" i="38" s="1"/>
  <c r="B15" i="32" s="1"/>
  <c r="B68" i="32" s="1"/>
  <c r="B16" i="34" s="1"/>
  <c r="C20" i="37"/>
  <c r="B71" i="37"/>
  <c r="E46" i="13"/>
  <c r="I46" i="13"/>
  <c r="B56" i="37"/>
  <c r="B86" i="17"/>
  <c r="F45" i="6" s="1"/>
  <c r="H45" i="6" s="1"/>
  <c r="C22" i="7" s="1"/>
  <c r="C70" i="7" s="1"/>
  <c r="F41" i="38"/>
  <c r="H41" i="38" s="1"/>
  <c r="B14" i="32" s="1"/>
  <c r="B67" i="32" s="1"/>
  <c r="B15" i="34" s="1"/>
  <c r="C9" i="37"/>
  <c r="B60" i="37"/>
  <c r="B67" i="37"/>
  <c r="C16" i="37"/>
  <c r="L54" i="35"/>
  <c r="M9" i="35"/>
  <c r="L15" i="35"/>
  <c r="F16" i="6"/>
  <c r="H16" i="6" s="1"/>
  <c r="B8" i="7" s="1"/>
  <c r="B61" i="7" s="1"/>
  <c r="B9" i="28" s="1"/>
  <c r="F35" i="38"/>
  <c r="H35" i="38" s="1"/>
  <c r="B32" i="32" s="1"/>
  <c r="F19" i="6"/>
  <c r="H19" i="6" s="1"/>
  <c r="F9" i="38"/>
  <c r="H9" i="38" s="1"/>
  <c r="B10" i="32" s="1"/>
  <c r="B63" i="32" s="1"/>
  <c r="B11" i="34" s="1"/>
  <c r="L17" i="17"/>
  <c r="F29" i="38"/>
  <c r="H29" i="38" s="1"/>
  <c r="F18" i="6"/>
  <c r="H18" i="6" s="1"/>
  <c r="B9" i="7" s="1"/>
  <c r="B62" i="7" s="1"/>
  <c r="B10" i="28" s="1"/>
  <c r="F18" i="38"/>
  <c r="H18" i="38" s="1"/>
  <c r="B9" i="32" s="1"/>
  <c r="B62" i="32" s="1"/>
  <c r="B10" i="34" s="1"/>
  <c r="F40" i="38"/>
  <c r="H40" i="38" s="1"/>
  <c r="B13" i="32" s="1"/>
  <c r="B66" i="32" s="1"/>
  <c r="B14" i="34" s="1"/>
  <c r="F19" i="38"/>
  <c r="H19" i="38" s="1"/>
  <c r="F32" i="38"/>
  <c r="H32" i="38" s="1"/>
  <c r="B29" i="32" s="1"/>
  <c r="B74" i="32" s="1"/>
  <c r="B22" i="34" s="1"/>
  <c r="F13" i="6"/>
  <c r="H13" i="6" s="1"/>
  <c r="B5" i="7" s="1"/>
  <c r="F44" i="38"/>
  <c r="H44" i="38" s="1"/>
  <c r="B21" i="32" s="1"/>
  <c r="B70" i="32" s="1"/>
  <c r="B18" i="34" s="1"/>
  <c r="F45" i="38"/>
  <c r="H45" i="38" s="1"/>
  <c r="C22" i="32" s="1"/>
  <c r="C70" i="32" s="1"/>
  <c r="F39" i="38"/>
  <c r="H39" i="38" s="1"/>
  <c r="B12" i="32" s="1"/>
  <c r="B65" i="32" s="1"/>
  <c r="B13" i="34" s="1"/>
  <c r="F41" i="6"/>
  <c r="H41" i="6" s="1"/>
  <c r="B14" i="7" s="1"/>
  <c r="B67" i="7" s="1"/>
  <c r="B15" i="28" s="1"/>
  <c r="F33" i="38"/>
  <c r="H33" i="38" s="1"/>
  <c r="B30" i="32" s="1"/>
  <c r="F54" i="32"/>
  <c r="E61" i="32"/>
  <c r="E59" i="32"/>
  <c r="E64" i="32"/>
  <c r="E67" i="32"/>
  <c r="E75" i="32"/>
  <c r="E62" i="32"/>
  <c r="E74" i="32"/>
  <c r="E65" i="32"/>
  <c r="E63" i="32"/>
  <c r="E73" i="32"/>
  <c r="E68" i="32"/>
  <c r="E57" i="32"/>
  <c r="E66" i="32"/>
  <c r="E60" i="32"/>
  <c r="E44" i="13"/>
  <c r="A44" i="13"/>
  <c r="AV57" i="35"/>
  <c r="G57" i="35"/>
  <c r="AL63" i="35"/>
  <c r="V62" i="35"/>
  <c r="T64" i="35"/>
  <c r="AV49" i="35"/>
  <c r="D49" i="35"/>
  <c r="AW57" i="35"/>
  <c r="AN57" i="35"/>
  <c r="K52" i="35"/>
  <c r="AA52" i="35"/>
  <c r="AY57" i="35"/>
  <c r="AH62" i="35"/>
  <c r="AW52" i="35"/>
  <c r="AU50" i="35"/>
  <c r="X63" i="35"/>
  <c r="AJ53" i="35"/>
  <c r="AG50" i="35"/>
  <c r="S57" i="35"/>
  <c r="Y63" i="35"/>
  <c r="G50" i="35"/>
  <c r="AR62" i="35"/>
  <c r="AQ53" i="35"/>
  <c r="Q59" i="35"/>
  <c r="AA65" i="35"/>
  <c r="AY52" i="35"/>
  <c r="J52" i="35"/>
  <c r="AO59" i="35"/>
  <c r="Q58" i="35"/>
  <c r="O61" i="35"/>
  <c r="S55" i="35"/>
  <c r="Y52" i="35"/>
  <c r="AO62" i="35"/>
  <c r="E50" i="35"/>
  <c r="M49" i="35"/>
  <c r="AY50" i="35"/>
  <c r="AC53" i="35"/>
  <c r="R57" i="35"/>
  <c r="T61" i="35"/>
  <c r="AO52" i="35"/>
  <c r="W57" i="35"/>
  <c r="G55" i="35"/>
  <c r="M62" i="35"/>
  <c r="AI62" i="35"/>
  <c r="E54" i="35"/>
  <c r="N52" i="35"/>
  <c r="K61" i="35"/>
  <c r="H4" i="37"/>
  <c r="H55" i="37" s="1"/>
  <c r="H4" i="34"/>
  <c r="H60" i="34" s="1"/>
  <c r="Y4" i="37"/>
  <c r="Y55" i="37" s="1"/>
  <c r="B36" i="38"/>
  <c r="B61" i="1"/>
  <c r="B91" i="1" s="1"/>
  <c r="L4" i="37"/>
  <c r="L55" i="37" s="1"/>
  <c r="L4" i="34"/>
  <c r="L60" i="34" s="1"/>
  <c r="R4" i="37"/>
  <c r="R55" i="37" s="1"/>
  <c r="R4" i="34"/>
  <c r="R60" i="34" s="1"/>
  <c r="AF4" i="37"/>
  <c r="AF55" i="37" s="1"/>
  <c r="AF4" i="34"/>
  <c r="AF60" i="34" s="1"/>
  <c r="C68" i="7"/>
  <c r="F12" i="37" l="1"/>
  <c r="E63" i="37"/>
  <c r="E15" i="35"/>
  <c r="F8" i="35"/>
  <c r="E53" i="35"/>
  <c r="L19" i="35"/>
  <c r="K60" i="35"/>
  <c r="K25" i="35"/>
  <c r="D18" i="37"/>
  <c r="D69" i="37" s="1"/>
  <c r="D5" i="37"/>
  <c r="D56" i="37" s="1"/>
  <c r="C12" i="34"/>
  <c r="C68" i="34" s="1"/>
  <c r="E23" i="32"/>
  <c r="F23" i="32" s="1"/>
  <c r="G23" i="32" s="1"/>
  <c r="H23" i="32" s="1"/>
  <c r="I23" i="32" s="1"/>
  <c r="J23" i="32" s="1"/>
  <c r="K23" i="32" s="1"/>
  <c r="L23" i="32" s="1"/>
  <c r="M23" i="32" s="1"/>
  <c r="N23" i="32" s="1"/>
  <c r="O23" i="32" s="1"/>
  <c r="P23" i="32" s="1"/>
  <c r="Q23" i="32" s="1"/>
  <c r="R23" i="32" s="1"/>
  <c r="S23" i="32" s="1"/>
  <c r="T23" i="32" s="1"/>
  <c r="U23" i="32" s="1"/>
  <c r="V23" i="32" s="1"/>
  <c r="W23" i="32" s="1"/>
  <c r="X23" i="32" s="1"/>
  <c r="Y23" i="32" s="1"/>
  <c r="Z23" i="32" s="1"/>
  <c r="AA23" i="32" s="1"/>
  <c r="AB23" i="32" s="1"/>
  <c r="AC23" i="32" s="1"/>
  <c r="AD23" i="32" s="1"/>
  <c r="AE23" i="32" s="1"/>
  <c r="AF23" i="32" s="1"/>
  <c r="AG23" i="32" s="1"/>
  <c r="AH23" i="32" s="1"/>
  <c r="AI23" i="32" s="1"/>
  <c r="AJ23" i="32" s="1"/>
  <c r="AK23" i="32" s="1"/>
  <c r="AL23" i="32" s="1"/>
  <c r="AM23" i="32" s="1"/>
  <c r="AN23" i="32" s="1"/>
  <c r="AO23" i="32" s="1"/>
  <c r="AP23" i="32" s="1"/>
  <c r="AQ23" i="32" s="1"/>
  <c r="AR23" i="32" s="1"/>
  <c r="AS23" i="32" s="1"/>
  <c r="AT23" i="32" s="1"/>
  <c r="AU23" i="32" s="1"/>
  <c r="AV23" i="32" s="1"/>
  <c r="AW23" i="32" s="1"/>
  <c r="AX23" i="32" s="1"/>
  <c r="AY23" i="32" s="1"/>
  <c r="C62" i="37"/>
  <c r="B65" i="34"/>
  <c r="B61" i="34"/>
  <c r="C65" i="34"/>
  <c r="F29" i="6"/>
  <c r="H29" i="6" s="1"/>
  <c r="AB25" i="7" s="1"/>
  <c r="C6" i="34"/>
  <c r="C62" i="34" s="1"/>
  <c r="F33" i="6"/>
  <c r="H33" i="6" s="1"/>
  <c r="B30" i="7" s="1"/>
  <c r="B75" i="7" s="1"/>
  <c r="B23" i="28" s="1"/>
  <c r="F34" i="6"/>
  <c r="H34" i="6" s="1"/>
  <c r="B31" i="7" s="1"/>
  <c r="C31" i="7" s="1"/>
  <c r="F46" i="6"/>
  <c r="H46" i="6"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N23" i="7" s="1"/>
  <c r="AO23" i="7" s="1"/>
  <c r="AP23" i="7" s="1"/>
  <c r="AQ23" i="7" s="1"/>
  <c r="AR23" i="7" s="1"/>
  <c r="AS23" i="7" s="1"/>
  <c r="AT23" i="7" s="1"/>
  <c r="AU23" i="7" s="1"/>
  <c r="AV23" i="7" s="1"/>
  <c r="AW23" i="7" s="1"/>
  <c r="AX23" i="7" s="1"/>
  <c r="AY23" i="7" s="1"/>
  <c r="F14" i="6"/>
  <c r="H14" i="6" s="1"/>
  <c r="B11" i="7" s="1"/>
  <c r="B64" i="7" s="1"/>
  <c r="B12" i="28" s="1"/>
  <c r="B68" i="28" s="1"/>
  <c r="F32" i="6"/>
  <c r="H32" i="6" s="1"/>
  <c r="B29" i="7" s="1"/>
  <c r="B74" i="7" s="1"/>
  <c r="B22" i="28" s="1"/>
  <c r="C22" i="28" s="1"/>
  <c r="F24" i="6"/>
  <c r="H24" i="6" s="1"/>
  <c r="B19" i="7" s="1"/>
  <c r="E11" i="37"/>
  <c r="E62" i="37" s="1"/>
  <c r="D21" i="37"/>
  <c r="E21" i="37" s="1"/>
  <c r="D10" i="37"/>
  <c r="D61" i="37" s="1"/>
  <c r="C61" i="37"/>
  <c r="D13" i="37"/>
  <c r="D64" i="37" s="1"/>
  <c r="C61" i="34"/>
  <c r="D5" i="34"/>
  <c r="D61" i="34" s="1"/>
  <c r="D17" i="37"/>
  <c r="C68" i="37"/>
  <c r="D8" i="37"/>
  <c r="C59" i="37"/>
  <c r="D6" i="37"/>
  <c r="D57" i="37" s="1"/>
  <c r="C57" i="37"/>
  <c r="C14" i="34"/>
  <c r="B70" i="34"/>
  <c r="C10" i="34"/>
  <c r="B66" i="34"/>
  <c r="F44" i="6"/>
  <c r="H44" i="6" s="1"/>
  <c r="B21" i="7" s="1"/>
  <c r="B70" i="7" s="1"/>
  <c r="B18" i="28" s="1"/>
  <c r="F40" i="6"/>
  <c r="H40" i="6" s="1"/>
  <c r="B13" i="7" s="1"/>
  <c r="B66" i="7" s="1"/>
  <c r="B14" i="28" s="1"/>
  <c r="B66" i="28"/>
  <c r="C10" i="28"/>
  <c r="E5" i="37"/>
  <c r="B77" i="34"/>
  <c r="C21" i="34"/>
  <c r="B58" i="37"/>
  <c r="C7" i="37"/>
  <c r="C71" i="37"/>
  <c r="D20" i="37"/>
  <c r="C13" i="34"/>
  <c r="B69" i="34"/>
  <c r="C67" i="37"/>
  <c r="D16" i="37"/>
  <c r="F47" i="6"/>
  <c r="H47" i="6" s="1"/>
  <c r="B76" i="32"/>
  <c r="B24" i="34" s="1"/>
  <c r="C31" i="32"/>
  <c r="D5" i="28"/>
  <c r="C61" i="28"/>
  <c r="N9" i="35"/>
  <c r="M15" i="35"/>
  <c r="M54" i="35"/>
  <c r="A33" i="32"/>
  <c r="A78" i="32" s="1"/>
  <c r="A26" i="34" s="1"/>
  <c r="A82" i="34" s="1"/>
  <c r="F36" i="38"/>
  <c r="H36" i="38" s="1"/>
  <c r="B33" i="32" s="1"/>
  <c r="B67" i="34"/>
  <c r="C11" i="34"/>
  <c r="B72" i="34"/>
  <c r="C16" i="34"/>
  <c r="Y24" i="32"/>
  <c r="AK24" i="32"/>
  <c r="AJ24" i="32"/>
  <c r="AX24" i="32"/>
  <c r="H24" i="32"/>
  <c r="V24" i="32"/>
  <c r="AB24" i="32"/>
  <c r="AU24" i="32"/>
  <c r="Z24" i="32"/>
  <c r="AC24" i="32"/>
  <c r="AH24" i="32"/>
  <c r="AN24" i="32"/>
  <c r="E24" i="32"/>
  <c r="E71" i="32" s="1"/>
  <c r="R24" i="32"/>
  <c r="P24" i="32"/>
  <c r="AP24" i="32"/>
  <c r="J24" i="32"/>
  <c r="U24" i="32"/>
  <c r="AD24" i="32"/>
  <c r="AA24" i="32"/>
  <c r="C24" i="32"/>
  <c r="C71" i="32" s="1"/>
  <c r="T24" i="32"/>
  <c r="AW24" i="32"/>
  <c r="AR24" i="32"/>
  <c r="X24" i="32"/>
  <c r="B24" i="32"/>
  <c r="B71" i="32" s="1"/>
  <c r="B19" i="34" s="1"/>
  <c r="L24" i="32"/>
  <c r="AT24" i="32"/>
  <c r="Q24" i="32"/>
  <c r="AS24" i="32"/>
  <c r="AE24" i="32"/>
  <c r="G24" i="32"/>
  <c r="AO24" i="32"/>
  <c r="O24" i="32"/>
  <c r="AI24" i="32"/>
  <c r="AG24" i="32"/>
  <c r="M24" i="32"/>
  <c r="D24" i="32"/>
  <c r="D71" i="32" s="1"/>
  <c r="K24" i="32"/>
  <c r="AF24" i="32"/>
  <c r="I24" i="32"/>
  <c r="F24" i="32"/>
  <c r="F71" i="32" s="1"/>
  <c r="AM24" i="32"/>
  <c r="AQ24" i="32"/>
  <c r="AY24" i="32"/>
  <c r="AV24" i="32"/>
  <c r="S24" i="32"/>
  <c r="AL24" i="32"/>
  <c r="W24" i="32"/>
  <c r="N24" i="32"/>
  <c r="C70" i="37"/>
  <c r="D19" i="37"/>
  <c r="B71" i="28"/>
  <c r="C15" i="28"/>
  <c r="B74" i="34"/>
  <c r="C18" i="34"/>
  <c r="F50" i="6"/>
  <c r="H50" i="6" s="1"/>
  <c r="B26" i="7" s="1"/>
  <c r="B73" i="7" s="1"/>
  <c r="B21" i="28" s="1"/>
  <c r="C20" i="32"/>
  <c r="B19" i="32"/>
  <c r="C30" i="32"/>
  <c r="C75" i="32" s="1"/>
  <c r="B75" i="32"/>
  <c r="B23" i="34" s="1"/>
  <c r="B30" i="35"/>
  <c r="C30" i="35" s="1"/>
  <c r="D30" i="35" s="1"/>
  <c r="E30" i="35" s="1"/>
  <c r="F30" i="35" s="1"/>
  <c r="G30" i="35" s="1"/>
  <c r="H30" i="35" s="1"/>
  <c r="I30" i="35" s="1"/>
  <c r="J30" i="35" s="1"/>
  <c r="K30" i="35" s="1"/>
  <c r="B32" i="35"/>
  <c r="C32" i="35" s="1"/>
  <c r="D32" i="35" s="1"/>
  <c r="E32" i="35" s="1"/>
  <c r="F32" i="35" s="1"/>
  <c r="G32" i="35" s="1"/>
  <c r="H32" i="35" s="1"/>
  <c r="I32" i="35" s="1"/>
  <c r="J32" i="35" s="1"/>
  <c r="K32" i="35" s="1"/>
  <c r="L32" i="35" s="1"/>
  <c r="B33" i="35"/>
  <c r="C33" i="35" s="1"/>
  <c r="D33" i="35" s="1"/>
  <c r="E33" i="35" s="1"/>
  <c r="F33" i="35" s="1"/>
  <c r="G33" i="35" s="1"/>
  <c r="H33" i="35" s="1"/>
  <c r="I33" i="35" s="1"/>
  <c r="J33" i="35" s="1"/>
  <c r="K33" i="35" s="1"/>
  <c r="L33" i="35" s="1"/>
  <c r="M33" i="35" s="1"/>
  <c r="N33" i="35" s="1"/>
  <c r="O33" i="35" s="1"/>
  <c r="P33" i="35" s="1"/>
  <c r="Q33" i="35" s="1"/>
  <c r="R33" i="35" s="1"/>
  <c r="S33" i="35" s="1"/>
  <c r="T33" i="35" s="1"/>
  <c r="U33" i="35" s="1"/>
  <c r="V33" i="35" s="1"/>
  <c r="W33" i="35" s="1"/>
  <c r="X33" i="35" s="1"/>
  <c r="Y33" i="35" s="1"/>
  <c r="Z33" i="35" s="1"/>
  <c r="AA33" i="35" s="1"/>
  <c r="AB33" i="35" s="1"/>
  <c r="AC33" i="35" s="1"/>
  <c r="AD33" i="35" s="1"/>
  <c r="AE33" i="35" s="1"/>
  <c r="AF33" i="35" s="1"/>
  <c r="AG33" i="35" s="1"/>
  <c r="AH33" i="35" s="1"/>
  <c r="AI33" i="35" s="1"/>
  <c r="AJ33" i="35" s="1"/>
  <c r="AK33" i="35" s="1"/>
  <c r="AL33" i="35" s="1"/>
  <c r="AM33" i="35" s="1"/>
  <c r="AN33" i="35" s="1"/>
  <c r="AO33" i="35" s="1"/>
  <c r="AP33" i="35" s="1"/>
  <c r="AQ33" i="35" s="1"/>
  <c r="AR33" i="35" s="1"/>
  <c r="AS33" i="35" s="1"/>
  <c r="AT33" i="35" s="1"/>
  <c r="AU33" i="35" s="1"/>
  <c r="AV33" i="35" s="1"/>
  <c r="AW33" i="35" s="1"/>
  <c r="AX33" i="35" s="1"/>
  <c r="AY33" i="35" s="1"/>
  <c r="B29" i="35"/>
  <c r="B58" i="7"/>
  <c r="B6" i="28" s="1"/>
  <c r="V25" i="32"/>
  <c r="AN25" i="32"/>
  <c r="AT25" i="32"/>
  <c r="G25" i="32"/>
  <c r="T25" i="32"/>
  <c r="I25" i="32"/>
  <c r="S25" i="32"/>
  <c r="AC25" i="32"/>
  <c r="D25" i="32"/>
  <c r="D72" i="32" s="1"/>
  <c r="B25" i="32"/>
  <c r="B72" i="32" s="1"/>
  <c r="B20" i="34" s="1"/>
  <c r="AK25" i="32"/>
  <c r="O25" i="32"/>
  <c r="AJ25" i="32"/>
  <c r="N25" i="32"/>
  <c r="AW25" i="32"/>
  <c r="AL25" i="32"/>
  <c r="AH25" i="32"/>
  <c r="F25" i="32"/>
  <c r="F72" i="32" s="1"/>
  <c r="AY25" i="32"/>
  <c r="M25" i="32"/>
  <c r="AB25" i="32"/>
  <c r="AU25" i="32"/>
  <c r="AI25" i="32"/>
  <c r="X25" i="32"/>
  <c r="R25" i="32"/>
  <c r="K25" i="32"/>
  <c r="AS25" i="32"/>
  <c r="Z25" i="32"/>
  <c r="AX25" i="32"/>
  <c r="AP25" i="32"/>
  <c r="AV25" i="32"/>
  <c r="H25" i="32"/>
  <c r="C25" i="32"/>
  <c r="C72" i="32" s="1"/>
  <c r="Y25" i="32"/>
  <c r="AD25" i="32"/>
  <c r="AG25" i="32"/>
  <c r="AQ25" i="32"/>
  <c r="Q25" i="32"/>
  <c r="E25" i="32"/>
  <c r="E72" i="32" s="1"/>
  <c r="P25" i="32"/>
  <c r="U25" i="32"/>
  <c r="J25" i="32"/>
  <c r="AM25" i="32"/>
  <c r="AR25" i="32"/>
  <c r="W25" i="32"/>
  <c r="AE25" i="32"/>
  <c r="AA25" i="32"/>
  <c r="AF25" i="32"/>
  <c r="L25" i="32"/>
  <c r="AO25" i="32"/>
  <c r="E62" i="35"/>
  <c r="F21" i="35"/>
  <c r="AG25" i="7"/>
  <c r="Y25" i="7"/>
  <c r="AR25" i="7"/>
  <c r="W25" i="7"/>
  <c r="C60" i="37"/>
  <c r="D9" i="37"/>
  <c r="B66" i="37"/>
  <c r="F21" i="6"/>
  <c r="H21" i="6"/>
  <c r="H22" i="6" s="1"/>
  <c r="B6" i="7"/>
  <c r="F23" i="6"/>
  <c r="B71" i="34"/>
  <c r="C15" i="34"/>
  <c r="E9" i="34"/>
  <c r="D65" i="34"/>
  <c r="C59" i="35"/>
  <c r="C15" i="37" s="1"/>
  <c r="D18" i="35"/>
  <c r="C25" i="35"/>
  <c r="G54" i="32"/>
  <c r="F63" i="32"/>
  <c r="F61" i="32"/>
  <c r="F64" i="32"/>
  <c r="F62" i="32"/>
  <c r="F73" i="32"/>
  <c r="F65" i="32"/>
  <c r="F59" i="32"/>
  <c r="F67" i="32"/>
  <c r="F58" i="32"/>
  <c r="F75" i="32"/>
  <c r="F60" i="32"/>
  <c r="F57" i="32"/>
  <c r="F74" i="32"/>
  <c r="F66" i="32"/>
  <c r="F68" i="32"/>
  <c r="E63" i="7"/>
  <c r="E60" i="7"/>
  <c r="E74" i="7"/>
  <c r="E75" i="7"/>
  <c r="E58" i="7"/>
  <c r="E59" i="7"/>
  <c r="E65" i="7"/>
  <c r="E61" i="7"/>
  <c r="E68" i="7"/>
  <c r="F54" i="7"/>
  <c r="E62" i="7"/>
  <c r="E66" i="7"/>
  <c r="E64" i="7"/>
  <c r="E67" i="7"/>
  <c r="E73" i="7"/>
  <c r="E57" i="7"/>
  <c r="B77" i="32"/>
  <c r="B25" i="34" s="1"/>
  <c r="C32" i="32"/>
  <c r="B78" i="34"/>
  <c r="C22" i="34"/>
  <c r="F35" i="6"/>
  <c r="H35" i="6" s="1"/>
  <c r="B32" i="7" s="1"/>
  <c r="F36" i="6"/>
  <c r="H36" i="6" s="1"/>
  <c r="B33" i="7" s="1"/>
  <c r="F27" i="6"/>
  <c r="H27" i="6" s="1"/>
  <c r="B15" i="7" s="1"/>
  <c r="B68" i="7" s="1"/>
  <c r="B16" i="28" s="1"/>
  <c r="F9" i="6"/>
  <c r="H9" i="6" s="1"/>
  <c r="B10" i="7" s="1"/>
  <c r="B63" i="7" s="1"/>
  <c r="B11" i="28" s="1"/>
  <c r="B6" i="32"/>
  <c r="H21" i="38"/>
  <c r="H22" i="38" s="1"/>
  <c r="F23" i="38"/>
  <c r="F21" i="38"/>
  <c r="B65" i="28"/>
  <c r="C9" i="28"/>
  <c r="B22" i="37"/>
  <c r="F39" i="6"/>
  <c r="H39" i="6" s="1"/>
  <c r="B12" i="7" s="1"/>
  <c r="B65" i="7" s="1"/>
  <c r="B13" i="28" s="1"/>
  <c r="D14" i="37"/>
  <c r="C65" i="37"/>
  <c r="E18" i="37" l="1"/>
  <c r="E69" i="37" s="1"/>
  <c r="L25" i="35"/>
  <c r="L60" i="35"/>
  <c r="M19" i="35"/>
  <c r="F63" i="37"/>
  <c r="G12" i="37"/>
  <c r="G8" i="35"/>
  <c r="F53" i="35"/>
  <c r="F15" i="35"/>
  <c r="F11" i="37"/>
  <c r="F62" i="37" s="1"/>
  <c r="R25" i="7"/>
  <c r="K25" i="7"/>
  <c r="AC25" i="7"/>
  <c r="AJ25" i="7"/>
  <c r="D12" i="34"/>
  <c r="E12" i="34" s="1"/>
  <c r="AN25" i="7"/>
  <c r="F70" i="32"/>
  <c r="AE25" i="7"/>
  <c r="P25" i="7"/>
  <c r="Q25" i="7"/>
  <c r="D6" i="34"/>
  <c r="E6" i="34" s="1"/>
  <c r="B76" i="7"/>
  <c r="B24" i="28" s="1"/>
  <c r="B80" i="28" s="1"/>
  <c r="C30" i="7"/>
  <c r="C75" i="7" s="1"/>
  <c r="C23" i="28" s="1"/>
  <c r="E70" i="7"/>
  <c r="E70" i="32"/>
  <c r="D70" i="7"/>
  <c r="AL25" i="7"/>
  <c r="C20" i="7"/>
  <c r="C69" i="7" s="1"/>
  <c r="AM25" i="7"/>
  <c r="AS25" i="7"/>
  <c r="AT25" i="7"/>
  <c r="G25" i="7"/>
  <c r="V25" i="7"/>
  <c r="AX25" i="7"/>
  <c r="T25" i="7"/>
  <c r="AV25" i="7"/>
  <c r="M25" i="7"/>
  <c r="AD25" i="7"/>
  <c r="AY25" i="7"/>
  <c r="J25" i="7"/>
  <c r="B25" i="7"/>
  <c r="B72" i="7" s="1"/>
  <c r="B20" i="28" s="1"/>
  <c r="B76" i="28" s="1"/>
  <c r="AA25" i="7"/>
  <c r="C12" i="28"/>
  <c r="C68" i="28" s="1"/>
  <c r="S25" i="7"/>
  <c r="E25" i="7"/>
  <c r="E72" i="7" s="1"/>
  <c r="AF25" i="7"/>
  <c r="AO25" i="7"/>
  <c r="AP25" i="7"/>
  <c r="N25" i="7"/>
  <c r="C25" i="7"/>
  <c r="C72" i="7" s="1"/>
  <c r="AQ25" i="7"/>
  <c r="AH25" i="7"/>
  <c r="Z25" i="7"/>
  <c r="F25" i="7"/>
  <c r="F72" i="7" s="1"/>
  <c r="AW25" i="7"/>
  <c r="O25" i="7"/>
  <c r="L25" i="7"/>
  <c r="I25" i="7"/>
  <c r="H25" i="7"/>
  <c r="AI25" i="7"/>
  <c r="U25" i="7"/>
  <c r="AK25" i="7"/>
  <c r="AU25" i="7"/>
  <c r="D25" i="7"/>
  <c r="D72" i="7" s="1"/>
  <c r="X25" i="7"/>
  <c r="B78" i="28"/>
  <c r="E13" i="37"/>
  <c r="F13" i="37" s="1"/>
  <c r="D72" i="37"/>
  <c r="E10" i="37"/>
  <c r="E5" i="34"/>
  <c r="E61" i="34" s="1"/>
  <c r="E6" i="37"/>
  <c r="B73" i="37"/>
  <c r="D68" i="37"/>
  <c r="E17" i="37"/>
  <c r="E8" i="37"/>
  <c r="D59" i="37"/>
  <c r="E72" i="37"/>
  <c r="F21" i="37"/>
  <c r="C66" i="37"/>
  <c r="C78" i="34"/>
  <c r="D22" i="34"/>
  <c r="N15" i="35"/>
  <c r="O9" i="35"/>
  <c r="N54" i="35"/>
  <c r="B74" i="28"/>
  <c r="C18" i="28"/>
  <c r="D7" i="37"/>
  <c r="C58" i="37"/>
  <c r="C22" i="37"/>
  <c r="E19" i="37"/>
  <c r="D70" i="37"/>
  <c r="B35" i="32"/>
  <c r="B69" i="32"/>
  <c r="B17" i="34" s="1"/>
  <c r="C69" i="34"/>
  <c r="D13" i="34"/>
  <c r="D21" i="34"/>
  <c r="C77" i="34"/>
  <c r="B59" i="32"/>
  <c r="B7" i="34" s="1"/>
  <c r="B7" i="32"/>
  <c r="B60" i="32" s="1"/>
  <c r="B8" i="34" s="1"/>
  <c r="C6" i="28"/>
  <c r="B62" i="28"/>
  <c r="D20" i="32"/>
  <c r="C69" i="32"/>
  <c r="B75" i="34"/>
  <c r="C19" i="34"/>
  <c r="D71" i="37"/>
  <c r="E20" i="37"/>
  <c r="C66" i="34"/>
  <c r="D10" i="34"/>
  <c r="B67" i="28"/>
  <c r="C11" i="28"/>
  <c r="B76" i="34"/>
  <c r="C20" i="34"/>
  <c r="C21" i="28"/>
  <c r="B77" i="28"/>
  <c r="B79" i="28"/>
  <c r="D59" i="35"/>
  <c r="D15" i="37" s="1"/>
  <c r="E18" i="35"/>
  <c r="D25" i="35"/>
  <c r="B31" i="35"/>
  <c r="B34" i="35" s="1"/>
  <c r="C29" i="35"/>
  <c r="C74" i="34"/>
  <c r="D18" i="34"/>
  <c r="C72" i="34"/>
  <c r="D16" i="34"/>
  <c r="D22" i="28"/>
  <c r="C78" i="28"/>
  <c r="B77" i="7"/>
  <c r="B25" i="28" s="1"/>
  <c r="C32" i="7"/>
  <c r="B59" i="7"/>
  <c r="B7" i="28" s="1"/>
  <c r="B7" i="7"/>
  <c r="B60" i="7" s="1"/>
  <c r="B8" i="28" s="1"/>
  <c r="E14" i="37"/>
  <c r="D65" i="37"/>
  <c r="D60" i="37"/>
  <c r="E9" i="37"/>
  <c r="B69" i="7"/>
  <c r="B17" i="28" s="1"/>
  <c r="E56" i="37"/>
  <c r="F5" i="37"/>
  <c r="D67" i="37"/>
  <c r="E16" i="37"/>
  <c r="D32" i="32"/>
  <c r="C77" i="32"/>
  <c r="C25" i="34" s="1"/>
  <c r="B81" i="34"/>
  <c r="G54" i="7"/>
  <c r="F74" i="7"/>
  <c r="F61" i="7"/>
  <c r="F75" i="7"/>
  <c r="F73" i="7"/>
  <c r="F70" i="7"/>
  <c r="F60" i="7"/>
  <c r="F68" i="7"/>
  <c r="F58" i="7"/>
  <c r="F59" i="7"/>
  <c r="F62" i="7"/>
  <c r="F63" i="7"/>
  <c r="F65" i="7"/>
  <c r="F64" i="7"/>
  <c r="F66" i="7"/>
  <c r="F67" i="7"/>
  <c r="F57" i="7"/>
  <c r="C71" i="28"/>
  <c r="D15" i="28"/>
  <c r="D11" i="34"/>
  <c r="C67" i="34"/>
  <c r="D61" i="28"/>
  <c r="E5" i="28"/>
  <c r="D31" i="7"/>
  <c r="C76" i="7"/>
  <c r="C66" i="28"/>
  <c r="D10" i="28"/>
  <c r="E65" i="34"/>
  <c r="F9" i="34"/>
  <c r="L34" i="35"/>
  <c r="L36" i="35" s="1"/>
  <c r="M32" i="35"/>
  <c r="D31" i="32"/>
  <c r="C76" i="32"/>
  <c r="C24" i="34" s="1"/>
  <c r="C70" i="34"/>
  <c r="D14" i="34"/>
  <c r="B78" i="7"/>
  <c r="B26" i="28" s="1"/>
  <c r="C33" i="7"/>
  <c r="B69" i="28"/>
  <c r="C13" i="28"/>
  <c r="G59" i="32"/>
  <c r="G60" i="32"/>
  <c r="G72" i="32"/>
  <c r="G63" i="32"/>
  <c r="G75" i="32"/>
  <c r="G61" i="32"/>
  <c r="H54" i="32"/>
  <c r="G74" i="32"/>
  <c r="G66" i="32"/>
  <c r="G65" i="32"/>
  <c r="G68" i="32"/>
  <c r="G58" i="32"/>
  <c r="G57" i="32"/>
  <c r="G67" i="32"/>
  <c r="G64" i="32"/>
  <c r="G70" i="32"/>
  <c r="G73" i="32"/>
  <c r="G62" i="32"/>
  <c r="G71" i="32"/>
  <c r="C71" i="34"/>
  <c r="D15" i="34"/>
  <c r="B78" i="32"/>
  <c r="B26" i="34" s="1"/>
  <c r="C33" i="32"/>
  <c r="C35" i="32" s="1"/>
  <c r="B80" i="34"/>
  <c r="B70" i="28"/>
  <c r="C14" i="28"/>
  <c r="C65" i="28"/>
  <c r="D9" i="28"/>
  <c r="B72" i="28"/>
  <c r="C16" i="28"/>
  <c r="F62" i="35"/>
  <c r="F18" i="37" s="1"/>
  <c r="G21" i="35"/>
  <c r="B79" i="34"/>
  <c r="C23" i="34"/>
  <c r="AX24" i="7"/>
  <c r="AY24" i="7"/>
  <c r="R24" i="7"/>
  <c r="AM24" i="7"/>
  <c r="AV24" i="7"/>
  <c r="AG24" i="7"/>
  <c r="X24" i="7"/>
  <c r="AK24" i="7"/>
  <c r="AA24" i="7"/>
  <c r="D24" i="7"/>
  <c r="D71" i="7" s="1"/>
  <c r="Z24" i="7"/>
  <c r="W24" i="7"/>
  <c r="AU24" i="7"/>
  <c r="AH24" i="7"/>
  <c r="AP24" i="7"/>
  <c r="I24" i="7"/>
  <c r="M24" i="7"/>
  <c r="AO24" i="7"/>
  <c r="N24" i="7"/>
  <c r="AQ24" i="7"/>
  <c r="AB24" i="7"/>
  <c r="K24" i="7"/>
  <c r="B24" i="7"/>
  <c r="B71" i="7" s="1"/>
  <c r="B19" i="28" s="1"/>
  <c r="AC24" i="7"/>
  <c r="P24" i="7"/>
  <c r="H24" i="7"/>
  <c r="AN24" i="7"/>
  <c r="E24" i="7"/>
  <c r="E71" i="7" s="1"/>
  <c r="C24" i="7"/>
  <c r="C71" i="7" s="1"/>
  <c r="U24" i="7"/>
  <c r="Y24" i="7"/>
  <c r="Q24" i="7"/>
  <c r="AI24" i="7"/>
  <c r="AT24" i="7"/>
  <c r="AS24" i="7"/>
  <c r="AE24" i="7"/>
  <c r="V24" i="7"/>
  <c r="AL24" i="7"/>
  <c r="AJ24" i="7"/>
  <c r="G24" i="7"/>
  <c r="L24" i="7"/>
  <c r="AR24" i="7"/>
  <c r="AD24" i="7"/>
  <c r="F24" i="7"/>
  <c r="F71" i="7" s="1"/>
  <c r="AF24" i="7"/>
  <c r="J24" i="7"/>
  <c r="T24" i="7"/>
  <c r="O24" i="7"/>
  <c r="S24" i="7"/>
  <c r="AW24" i="7"/>
  <c r="D68" i="34" l="1"/>
  <c r="G63" i="37"/>
  <c r="H12" i="37"/>
  <c r="N19" i="35"/>
  <c r="M60" i="35"/>
  <c r="M25" i="35"/>
  <c r="G15" i="35"/>
  <c r="G53" i="35"/>
  <c r="H8" i="35"/>
  <c r="G11" i="37"/>
  <c r="H11" i="37" s="1"/>
  <c r="D62" i="34"/>
  <c r="C24" i="28"/>
  <c r="C80" i="28" s="1"/>
  <c r="D20" i="7"/>
  <c r="C20" i="28"/>
  <c r="D12" i="28"/>
  <c r="D68" i="28" s="1"/>
  <c r="E64" i="37"/>
  <c r="B16" i="7"/>
  <c r="F10" i="37"/>
  <c r="E61" i="37"/>
  <c r="F5" i="34"/>
  <c r="B35" i="7"/>
  <c r="B16" i="32"/>
  <c r="B45" i="32" s="1"/>
  <c r="F6" i="37"/>
  <c r="E57" i="37"/>
  <c r="C73" i="37"/>
  <c r="F72" i="37"/>
  <c r="G21" i="37"/>
  <c r="E68" i="37"/>
  <c r="F17" i="37"/>
  <c r="F8" i="37"/>
  <c r="E59" i="37"/>
  <c r="C80" i="34"/>
  <c r="D66" i="37"/>
  <c r="F69" i="37"/>
  <c r="B36" i="35"/>
  <c r="C81" i="34"/>
  <c r="B82" i="34"/>
  <c r="E15" i="28"/>
  <c r="D71" i="28"/>
  <c r="B64" i="28"/>
  <c r="C8" i="28"/>
  <c r="D71" i="34"/>
  <c r="E15" i="34"/>
  <c r="F6" i="34"/>
  <c r="E62" i="34"/>
  <c r="C7" i="28"/>
  <c r="B63" i="28"/>
  <c r="C76" i="28"/>
  <c r="D20" i="28"/>
  <c r="C62" i="28"/>
  <c r="D6" i="28"/>
  <c r="D66" i="34"/>
  <c r="E10" i="34"/>
  <c r="D29" i="35"/>
  <c r="C31" i="35"/>
  <c r="C34" i="35" s="1"/>
  <c r="B81" i="28"/>
  <c r="B73" i="28"/>
  <c r="C17" i="28"/>
  <c r="G13" i="37"/>
  <c r="F64" i="37"/>
  <c r="M34" i="35"/>
  <c r="N32" i="35"/>
  <c r="D78" i="28"/>
  <c r="E22" i="28"/>
  <c r="F18" i="35"/>
  <c r="E59" i="35"/>
  <c r="E15" i="37" s="1"/>
  <c r="E25" i="35"/>
  <c r="D20" i="34"/>
  <c r="C76" i="34"/>
  <c r="C8" i="34"/>
  <c r="B64" i="34"/>
  <c r="E70" i="37"/>
  <c r="F19" i="37"/>
  <c r="D32" i="7"/>
  <c r="C77" i="7"/>
  <c r="C25" i="28" s="1"/>
  <c r="D66" i="28"/>
  <c r="E10" i="28"/>
  <c r="E32" i="32"/>
  <c r="D77" i="32"/>
  <c r="D25" i="34" s="1"/>
  <c r="E31" i="7"/>
  <c r="D76" i="7"/>
  <c r="F9" i="37"/>
  <c r="E60" i="37"/>
  <c r="E20" i="7"/>
  <c r="D69" i="7"/>
  <c r="C75" i="34"/>
  <c r="D19" i="34"/>
  <c r="C7" i="34"/>
  <c r="B63" i="34"/>
  <c r="B27" i="34"/>
  <c r="C70" i="28"/>
  <c r="D14" i="28"/>
  <c r="D13" i="28"/>
  <c r="C69" i="28"/>
  <c r="F65" i="34"/>
  <c r="G9" i="34"/>
  <c r="C35" i="7"/>
  <c r="D23" i="28"/>
  <c r="C79" i="28"/>
  <c r="E31" i="32"/>
  <c r="D76" i="32"/>
  <c r="D24" i="34" s="1"/>
  <c r="F5" i="28"/>
  <c r="E61" i="28"/>
  <c r="D77" i="34"/>
  <c r="E21" i="34"/>
  <c r="D58" i="37"/>
  <c r="E7" i="37"/>
  <c r="D22" i="37"/>
  <c r="E71" i="37"/>
  <c r="F20" i="37"/>
  <c r="H62" i="32"/>
  <c r="H60" i="32"/>
  <c r="H59" i="32"/>
  <c r="H67" i="32"/>
  <c r="H58" i="32"/>
  <c r="H72" i="32"/>
  <c r="I54" i="32"/>
  <c r="H74" i="32"/>
  <c r="H65" i="32"/>
  <c r="H75" i="32"/>
  <c r="H68" i="32"/>
  <c r="H61" i="32"/>
  <c r="H71" i="32"/>
  <c r="H73" i="32"/>
  <c r="H57" i="32"/>
  <c r="H66" i="32"/>
  <c r="H64" i="32"/>
  <c r="H70" i="32"/>
  <c r="C19" i="28"/>
  <c r="B75" i="28"/>
  <c r="C79" i="34"/>
  <c r="D23" i="34"/>
  <c r="D33" i="7"/>
  <c r="C78" i="7"/>
  <c r="C26" i="28" s="1"/>
  <c r="F14" i="37"/>
  <c r="E65" i="37"/>
  <c r="D72" i="34"/>
  <c r="E16" i="34"/>
  <c r="D69" i="34"/>
  <c r="E13" i="34"/>
  <c r="C74" i="28"/>
  <c r="D18" i="28"/>
  <c r="D65" i="28"/>
  <c r="E9" i="28"/>
  <c r="F16" i="37"/>
  <c r="E67" i="37"/>
  <c r="E68" i="34"/>
  <c r="F12" i="34"/>
  <c r="C67" i="28"/>
  <c r="D11" i="28"/>
  <c r="D69" i="32"/>
  <c r="E20" i="32"/>
  <c r="E22" i="34"/>
  <c r="D78" i="34"/>
  <c r="D16" i="28"/>
  <c r="C72" i="28"/>
  <c r="C77" i="28"/>
  <c r="D21" i="28"/>
  <c r="B82" i="28"/>
  <c r="G62" i="35"/>
  <c r="G18" i="37" s="1"/>
  <c r="H21" i="35"/>
  <c r="C78" i="32"/>
  <c r="C26" i="34" s="1"/>
  <c r="D33" i="32"/>
  <c r="D35" i="32" s="1"/>
  <c r="E14" i="34"/>
  <c r="D70" i="34"/>
  <c r="D67" i="34"/>
  <c r="E11" i="34"/>
  <c r="E18" i="34"/>
  <c r="D74" i="34"/>
  <c r="B27" i="28"/>
  <c r="B73" i="34"/>
  <c r="C17" i="34"/>
  <c r="G75" i="7"/>
  <c r="G70" i="7"/>
  <c r="G74" i="7"/>
  <c r="G68" i="7"/>
  <c r="G72" i="7"/>
  <c r="G63" i="7"/>
  <c r="G59" i="7"/>
  <c r="G58" i="7"/>
  <c r="H54" i="7"/>
  <c r="G65" i="7"/>
  <c r="G61" i="7"/>
  <c r="G64" i="7"/>
  <c r="G60" i="7"/>
  <c r="G66" i="7"/>
  <c r="G57" i="7"/>
  <c r="G73" i="7"/>
  <c r="G62" i="7"/>
  <c r="G67" i="7"/>
  <c r="G71" i="7"/>
  <c r="G5" i="37"/>
  <c r="F56" i="37"/>
  <c r="P9" i="35"/>
  <c r="O15" i="35"/>
  <c r="O54" i="35"/>
  <c r="N60" i="35" l="1"/>
  <c r="O19" i="35"/>
  <c r="N25" i="35"/>
  <c r="I12" i="37"/>
  <c r="H63" i="37"/>
  <c r="M36" i="35"/>
  <c r="H53" i="35"/>
  <c r="H15" i="35"/>
  <c r="I8" i="35"/>
  <c r="G62" i="37"/>
  <c r="D24" i="28"/>
  <c r="E12" i="28"/>
  <c r="E68" i="28" s="1"/>
  <c r="B45" i="7"/>
  <c r="D73" i="37"/>
  <c r="F61" i="37"/>
  <c r="G10" i="37"/>
  <c r="H41" i="32"/>
  <c r="I41" i="32" s="1"/>
  <c r="F8" i="13"/>
  <c r="F38" i="13" s="1"/>
  <c r="C39" i="32"/>
  <c r="D39" i="32" s="1"/>
  <c r="E39" i="32" s="1"/>
  <c r="F39" i="32" s="1"/>
  <c r="G39" i="32" s="1"/>
  <c r="B83" i="28"/>
  <c r="C38" i="32"/>
  <c r="D38" i="32" s="1"/>
  <c r="F61" i="34"/>
  <c r="G5" i="34"/>
  <c r="G61" i="34" s="1"/>
  <c r="C42" i="32"/>
  <c r="D42" i="32" s="1"/>
  <c r="E42" i="32" s="1"/>
  <c r="F42" i="32" s="1"/>
  <c r="G42" i="32" s="1"/>
  <c r="H42" i="32" s="1"/>
  <c r="I42" i="32" s="1"/>
  <c r="J42" i="32" s="1"/>
  <c r="K42" i="32" s="1"/>
  <c r="L42" i="32" s="1"/>
  <c r="M42" i="32" s="1"/>
  <c r="N42" i="32" s="1"/>
  <c r="O42" i="32" s="1"/>
  <c r="P42" i="32" s="1"/>
  <c r="Q42" i="32" s="1"/>
  <c r="R42" i="32" s="1"/>
  <c r="S42" i="32" s="1"/>
  <c r="T42" i="32" s="1"/>
  <c r="U42" i="32" s="1"/>
  <c r="V42" i="32" s="1"/>
  <c r="W42" i="32" s="1"/>
  <c r="X42" i="32" s="1"/>
  <c r="Y42" i="32" s="1"/>
  <c r="Z42" i="32" s="1"/>
  <c r="AA42" i="32" s="1"/>
  <c r="AB42" i="32" s="1"/>
  <c r="AC42" i="32" s="1"/>
  <c r="AD42" i="32" s="1"/>
  <c r="AE42" i="32" s="1"/>
  <c r="AF42" i="32" s="1"/>
  <c r="AG42" i="32" s="1"/>
  <c r="AH42" i="32" s="1"/>
  <c r="AI42" i="32" s="1"/>
  <c r="AJ42" i="32" s="1"/>
  <c r="AK42" i="32" s="1"/>
  <c r="AL42" i="32" s="1"/>
  <c r="AM42" i="32" s="1"/>
  <c r="AN42" i="32" s="1"/>
  <c r="AO42" i="32" s="1"/>
  <c r="AP42" i="32" s="1"/>
  <c r="AQ42" i="32" s="1"/>
  <c r="AR42" i="32" s="1"/>
  <c r="AS42" i="32" s="1"/>
  <c r="AT42" i="32" s="1"/>
  <c r="AU42" i="32" s="1"/>
  <c r="AV42" i="32" s="1"/>
  <c r="AW42" i="32" s="1"/>
  <c r="AX42" i="32" s="1"/>
  <c r="AY42" i="32" s="1"/>
  <c r="F68" i="37"/>
  <c r="G17" i="37"/>
  <c r="H21" i="37"/>
  <c r="G72" i="37"/>
  <c r="G8" i="37"/>
  <c r="F59" i="37"/>
  <c r="H62" i="37"/>
  <c r="I11" i="37"/>
  <c r="G6" i="37"/>
  <c r="F57" i="37"/>
  <c r="C82" i="34"/>
  <c r="E66" i="37"/>
  <c r="C81" i="28"/>
  <c r="C36" i="35"/>
  <c r="G69" i="37"/>
  <c r="D80" i="34"/>
  <c r="D80" i="28"/>
  <c r="D7" i="34"/>
  <c r="C63" i="34"/>
  <c r="C27" i="34"/>
  <c r="C82" i="28"/>
  <c r="F18" i="34"/>
  <c r="E74" i="34"/>
  <c r="F7" i="37"/>
  <c r="E58" i="37"/>
  <c r="E22" i="37"/>
  <c r="F21" i="34"/>
  <c r="E77" i="34"/>
  <c r="D69" i="28"/>
  <c r="E13" i="28"/>
  <c r="F20" i="7"/>
  <c r="E69" i="7"/>
  <c r="F32" i="32"/>
  <c r="E77" i="32"/>
  <c r="E25" i="34" s="1"/>
  <c r="G64" i="37"/>
  <c r="H13" i="37"/>
  <c r="F15" i="34"/>
  <c r="E71" i="34"/>
  <c r="H62" i="7"/>
  <c r="H59" i="7"/>
  <c r="H61" i="7"/>
  <c r="I54" i="7"/>
  <c r="H71" i="7"/>
  <c r="H75" i="7"/>
  <c r="H58" i="7"/>
  <c r="H68" i="7"/>
  <c r="H60" i="7"/>
  <c r="H67" i="7"/>
  <c r="H66" i="7"/>
  <c r="H64" i="7"/>
  <c r="H57" i="7"/>
  <c r="H65" i="7"/>
  <c r="H74" i="7"/>
  <c r="H70" i="7"/>
  <c r="H73" i="7"/>
  <c r="H72" i="7"/>
  <c r="D70" i="28"/>
  <c r="E14" i="28"/>
  <c r="P54" i="35"/>
  <c r="P15" i="35"/>
  <c r="Q9" i="35"/>
  <c r="F59" i="35"/>
  <c r="F15" i="37" s="1"/>
  <c r="G18" i="35"/>
  <c r="F25" i="35"/>
  <c r="E66" i="28"/>
  <c r="F10" i="28"/>
  <c r="D81" i="34"/>
  <c r="G12" i="34"/>
  <c r="F68" i="34"/>
  <c r="E78" i="28"/>
  <c r="F22" i="28"/>
  <c r="E6" i="28"/>
  <c r="D62" i="28"/>
  <c r="H62" i="35"/>
  <c r="H18" i="37" s="1"/>
  <c r="I21" i="35"/>
  <c r="G20" i="37"/>
  <c r="F71" i="37"/>
  <c r="D17" i="28"/>
  <c r="C73" i="28"/>
  <c r="C75" i="28"/>
  <c r="D19" i="28"/>
  <c r="G9" i="37"/>
  <c r="F60" i="37"/>
  <c r="C27" i="28"/>
  <c r="E70" i="34"/>
  <c r="F14" i="34"/>
  <c r="E78" i="34"/>
  <c r="F22" i="34"/>
  <c r="F65" i="37"/>
  <c r="G14" i="37"/>
  <c r="F31" i="7"/>
  <c r="E76" i="7"/>
  <c r="E24" i="28" s="1"/>
  <c r="E32" i="7"/>
  <c r="D77" i="7"/>
  <c r="D25" i="28" s="1"/>
  <c r="E72" i="34"/>
  <c r="F16" i="34"/>
  <c r="E16" i="28"/>
  <c r="D72" i="28"/>
  <c r="D78" i="32"/>
  <c r="D26" i="34" s="1"/>
  <c r="E33" i="32"/>
  <c r="E35" i="32" s="1"/>
  <c r="F61" i="28"/>
  <c r="G5" i="28"/>
  <c r="E20" i="28"/>
  <c r="D76" i="28"/>
  <c r="D8" i="28"/>
  <c r="C64" i="28"/>
  <c r="H41" i="7"/>
  <c r="C38" i="7"/>
  <c r="C42" i="7"/>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N42" i="7" s="1"/>
  <c r="AO42" i="7" s="1"/>
  <c r="AP42" i="7" s="1"/>
  <c r="AQ42" i="7" s="1"/>
  <c r="AR42" i="7" s="1"/>
  <c r="AS42" i="7" s="1"/>
  <c r="AT42" i="7" s="1"/>
  <c r="AU42" i="7" s="1"/>
  <c r="AV42" i="7" s="1"/>
  <c r="AW42" i="7" s="1"/>
  <c r="AX42" i="7" s="1"/>
  <c r="AY42" i="7" s="1"/>
  <c r="C39" i="7"/>
  <c r="D39" i="7" s="1"/>
  <c r="E39" i="7" s="1"/>
  <c r="F39" i="7" s="1"/>
  <c r="G39" i="7" s="1"/>
  <c r="B8" i="13"/>
  <c r="B38" i="13" s="1"/>
  <c r="G56" i="37"/>
  <c r="H5" i="37"/>
  <c r="D17" i="34"/>
  <c r="C73" i="34"/>
  <c r="G16" i="37"/>
  <c r="F67" i="37"/>
  <c r="I58" i="32"/>
  <c r="I72" i="32"/>
  <c r="I73" i="32"/>
  <c r="I75" i="32"/>
  <c r="I71" i="32"/>
  <c r="I70" i="32"/>
  <c r="I61" i="32"/>
  <c r="I57" i="32"/>
  <c r="J54" i="32"/>
  <c r="I65" i="32"/>
  <c r="I59" i="32"/>
  <c r="I66" i="32"/>
  <c r="I74" i="32"/>
  <c r="I67" i="32"/>
  <c r="I68" i="32"/>
  <c r="I60" i="32"/>
  <c r="I64" i="32"/>
  <c r="I62" i="32"/>
  <c r="B83" i="34"/>
  <c r="G19" i="37"/>
  <c r="F70" i="37"/>
  <c r="F9" i="28"/>
  <c r="E65" i="28"/>
  <c r="O32" i="35"/>
  <c r="N34" i="35"/>
  <c r="N36" i="35" s="1"/>
  <c r="E29" i="35"/>
  <c r="D31" i="35"/>
  <c r="D34" i="35" s="1"/>
  <c r="E69" i="32"/>
  <c r="F20" i="32"/>
  <c r="E19" i="34"/>
  <c r="D75" i="34"/>
  <c r="C63" i="28"/>
  <c r="D7" i="28"/>
  <c r="F15" i="28"/>
  <c r="E71" i="28"/>
  <c r="E18" i="28"/>
  <c r="D74" i="28"/>
  <c r="G65" i="34"/>
  <c r="H9" i="34"/>
  <c r="C64" i="34"/>
  <c r="D8" i="34"/>
  <c r="F10" i="34"/>
  <c r="E66" i="34"/>
  <c r="E23" i="28"/>
  <c r="D79" i="28"/>
  <c r="D78" i="7"/>
  <c r="D26" i="28" s="1"/>
  <c r="E33" i="7"/>
  <c r="F31" i="32"/>
  <c r="E76" i="32"/>
  <c r="E24" i="34" s="1"/>
  <c r="E67" i="34"/>
  <c r="F11" i="34"/>
  <c r="D77" i="28"/>
  <c r="E21" i="28"/>
  <c r="D67" i="28"/>
  <c r="E11" i="28"/>
  <c r="E69" i="34"/>
  <c r="F13" i="34"/>
  <c r="E23" i="34"/>
  <c r="D79" i="34"/>
  <c r="D35" i="7"/>
  <c r="D76" i="34"/>
  <c r="E20" i="34"/>
  <c r="F62" i="34"/>
  <c r="G6" i="34"/>
  <c r="I15" i="35" l="1"/>
  <c r="J8" i="35"/>
  <c r="I53" i="35"/>
  <c r="J12" i="37"/>
  <c r="I63" i="37"/>
  <c r="O25" i="35"/>
  <c r="O60" i="35"/>
  <c r="P19" i="35"/>
  <c r="F12" i="28"/>
  <c r="F68" i="28" s="1"/>
  <c r="H10" i="32"/>
  <c r="H43" i="32" s="1"/>
  <c r="G61" i="37"/>
  <c r="H10" i="37"/>
  <c r="E35" i="7"/>
  <c r="C40" i="32"/>
  <c r="C43" i="32" s="1"/>
  <c r="C45" i="32" s="1"/>
  <c r="H5" i="34"/>
  <c r="H61" i="34" s="1"/>
  <c r="C83" i="28"/>
  <c r="H8" i="37"/>
  <c r="G59" i="37"/>
  <c r="G68" i="37"/>
  <c r="H17" i="37"/>
  <c r="H6" i="37"/>
  <c r="G57" i="37"/>
  <c r="H72" i="37"/>
  <c r="I21" i="37"/>
  <c r="J11" i="37"/>
  <c r="I62" i="37"/>
  <c r="E80" i="34"/>
  <c r="D81" i="28"/>
  <c r="E80" i="28"/>
  <c r="D82" i="28"/>
  <c r="F66" i="37"/>
  <c r="D36" i="35"/>
  <c r="G13" i="34"/>
  <c r="F69" i="34"/>
  <c r="I9" i="34"/>
  <c r="H65" i="34"/>
  <c r="F72" i="34"/>
  <c r="G16" i="34"/>
  <c r="F78" i="34"/>
  <c r="G22" i="34"/>
  <c r="Q15" i="35"/>
  <c r="Q54" i="35"/>
  <c r="R9" i="35"/>
  <c r="G71" i="37"/>
  <c r="H20" i="37"/>
  <c r="I62" i="35"/>
  <c r="I18" i="37" s="1"/>
  <c r="J21" i="35"/>
  <c r="J62" i="35" s="1"/>
  <c r="E70" i="28"/>
  <c r="F14" i="28"/>
  <c r="E69" i="28"/>
  <c r="F13" i="28"/>
  <c r="C83" i="34"/>
  <c r="F11" i="28"/>
  <c r="E67" i="28"/>
  <c r="E77" i="28"/>
  <c r="F21" i="28"/>
  <c r="J65" i="32"/>
  <c r="J74" i="32"/>
  <c r="J61" i="32"/>
  <c r="J59" i="32"/>
  <c r="J75" i="32"/>
  <c r="J67" i="32"/>
  <c r="J72" i="32"/>
  <c r="J66" i="32"/>
  <c r="J68" i="32"/>
  <c r="K54" i="32"/>
  <c r="J58" i="32"/>
  <c r="J71" i="32"/>
  <c r="J64" i="32"/>
  <c r="J60" i="32"/>
  <c r="J70" i="32"/>
  <c r="J57" i="32"/>
  <c r="J73" i="32"/>
  <c r="J62" i="32"/>
  <c r="D38" i="7"/>
  <c r="C40" i="7"/>
  <c r="C43" i="7" s="1"/>
  <c r="C45" i="7" s="1"/>
  <c r="G12" i="28"/>
  <c r="G68" i="34"/>
  <c r="H12" i="34"/>
  <c r="F71" i="34"/>
  <c r="G15" i="34"/>
  <c r="E7" i="34"/>
  <c r="D63" i="34"/>
  <c r="D27" i="34"/>
  <c r="G20" i="7"/>
  <c r="F69" i="7"/>
  <c r="G31" i="32"/>
  <c r="F76" i="32"/>
  <c r="F24" i="34" s="1"/>
  <c r="E74" i="28"/>
  <c r="F18" i="28"/>
  <c r="E31" i="35"/>
  <c r="E34" i="35" s="1"/>
  <c r="F29" i="35"/>
  <c r="F67" i="34"/>
  <c r="G11" i="34"/>
  <c r="G15" i="28"/>
  <c r="F71" i="28"/>
  <c r="I41" i="7"/>
  <c r="H10" i="7"/>
  <c r="F32" i="7"/>
  <c r="E77" i="7"/>
  <c r="E25" i="28" s="1"/>
  <c r="F33" i="7"/>
  <c r="E78" i="7"/>
  <c r="E26" i="28" s="1"/>
  <c r="H6" i="34"/>
  <c r="G62" i="34"/>
  <c r="F20" i="34"/>
  <c r="E76" i="34"/>
  <c r="D63" i="28"/>
  <c r="E7" i="28"/>
  <c r="P32" i="35"/>
  <c r="O34" i="35"/>
  <c r="O36" i="35" s="1"/>
  <c r="D73" i="34"/>
  <c r="E17" i="34"/>
  <c r="G60" i="37"/>
  <c r="H9" i="37"/>
  <c r="D27" i="28"/>
  <c r="E81" i="34"/>
  <c r="F77" i="34"/>
  <c r="G21" i="34"/>
  <c r="J41" i="32"/>
  <c r="H5" i="28"/>
  <c r="G61" i="28"/>
  <c r="F70" i="34"/>
  <c r="G14" i="34"/>
  <c r="F23" i="28"/>
  <c r="E79" i="28"/>
  <c r="E8" i="28"/>
  <c r="D64" i="28"/>
  <c r="F33" i="32"/>
  <c r="F35" i="32" s="1"/>
  <c r="E78" i="32"/>
  <c r="E26" i="34" s="1"/>
  <c r="G31" i="7"/>
  <c r="F76" i="7"/>
  <c r="F24" i="28" s="1"/>
  <c r="E19" i="28"/>
  <c r="D75" i="28"/>
  <c r="F66" i="28"/>
  <c r="G10" i="28"/>
  <c r="H64" i="37"/>
  <c r="I13" i="37"/>
  <c r="G9" i="28"/>
  <c r="F65" i="28"/>
  <c r="H56" i="37"/>
  <c r="I5" i="37"/>
  <c r="F6" i="28"/>
  <c r="E62" i="28"/>
  <c r="E73" i="37"/>
  <c r="G67" i="37"/>
  <c r="H16" i="37"/>
  <c r="F66" i="34"/>
  <c r="G10" i="34"/>
  <c r="F19" i="34"/>
  <c r="E75" i="34"/>
  <c r="F20" i="28"/>
  <c r="E76" i="28"/>
  <c r="F78" i="28"/>
  <c r="G22" i="28"/>
  <c r="F58" i="37"/>
  <c r="G7" i="37"/>
  <c r="F22" i="37"/>
  <c r="H69" i="37"/>
  <c r="E79" i="34"/>
  <c r="F23" i="34"/>
  <c r="D40" i="32"/>
  <c r="D43" i="32" s="1"/>
  <c r="E38" i="32"/>
  <c r="D64" i="34"/>
  <c r="E8" i="34"/>
  <c r="H19" i="37"/>
  <c r="G70" i="37"/>
  <c r="G65" i="37"/>
  <c r="H14" i="37"/>
  <c r="H18" i="35"/>
  <c r="G25" i="35"/>
  <c r="G59" i="35"/>
  <c r="G15" i="37" s="1"/>
  <c r="G20" i="32"/>
  <c r="F69" i="32"/>
  <c r="F16" i="28"/>
  <c r="E72" i="28"/>
  <c r="D73" i="28"/>
  <c r="E17" i="28"/>
  <c r="I62" i="7"/>
  <c r="I59" i="7"/>
  <c r="I70" i="7"/>
  <c r="I74" i="7"/>
  <c r="I66" i="7"/>
  <c r="I64" i="7"/>
  <c r="I71" i="7"/>
  <c r="I60" i="7"/>
  <c r="I73" i="7"/>
  <c r="I58" i="7"/>
  <c r="I61" i="7"/>
  <c r="I75" i="7"/>
  <c r="J54" i="7"/>
  <c r="I67" i="7"/>
  <c r="I72" i="7"/>
  <c r="I65" i="7"/>
  <c r="I68" i="7"/>
  <c r="I57" i="7"/>
  <c r="G32" i="32"/>
  <c r="F77" i="32"/>
  <c r="F25" i="34" s="1"/>
  <c r="G18" i="34"/>
  <c r="F74" i="34"/>
  <c r="D82" i="34"/>
  <c r="H63" i="32" l="1"/>
  <c r="Q19" i="35"/>
  <c r="P25" i="35"/>
  <c r="P60" i="35"/>
  <c r="J63" i="37"/>
  <c r="K12" i="37"/>
  <c r="K8" i="35"/>
  <c r="J53" i="35"/>
  <c r="J15" i="35"/>
  <c r="H16" i="32"/>
  <c r="I5" i="34"/>
  <c r="I61" i="34" s="1"/>
  <c r="I10" i="37"/>
  <c r="H61" i="37"/>
  <c r="I10" i="32"/>
  <c r="I43" i="32" s="1"/>
  <c r="D83" i="28"/>
  <c r="E27" i="28"/>
  <c r="I6" i="37"/>
  <c r="H57" i="37"/>
  <c r="F73" i="37"/>
  <c r="H59" i="37"/>
  <c r="I8" i="37"/>
  <c r="J62" i="37"/>
  <c r="K11" i="37"/>
  <c r="I17" i="37"/>
  <c r="H68" i="37"/>
  <c r="J21" i="37"/>
  <c r="I72" i="37"/>
  <c r="F80" i="28"/>
  <c r="F80" i="34"/>
  <c r="D45" i="32"/>
  <c r="F81" i="34"/>
  <c r="E36" i="35"/>
  <c r="E81" i="28"/>
  <c r="J18" i="37"/>
  <c r="I69" i="37"/>
  <c r="G66" i="37"/>
  <c r="G66" i="34"/>
  <c r="H10" i="34"/>
  <c r="H32" i="32"/>
  <c r="G77" i="32"/>
  <c r="G25" i="34" s="1"/>
  <c r="G78" i="28"/>
  <c r="H22" i="28"/>
  <c r="P34" i="35"/>
  <c r="P36" i="35" s="1"/>
  <c r="Q32" i="35"/>
  <c r="G29" i="35"/>
  <c r="F31" i="35"/>
  <c r="F34" i="35" s="1"/>
  <c r="F36" i="35" s="1"/>
  <c r="F7" i="34"/>
  <c r="E63" i="34"/>
  <c r="E27" i="34"/>
  <c r="K61" i="32"/>
  <c r="K58" i="32"/>
  <c r="K59" i="32"/>
  <c r="K60" i="32"/>
  <c r="K57" i="32"/>
  <c r="K65" i="32"/>
  <c r="K67" i="32"/>
  <c r="K64" i="32"/>
  <c r="K66" i="32"/>
  <c r="K68" i="32"/>
  <c r="K73" i="32"/>
  <c r="L54" i="32"/>
  <c r="K72" i="32"/>
  <c r="K71" i="32"/>
  <c r="K62" i="32"/>
  <c r="K74" i="32"/>
  <c r="K70" i="32"/>
  <c r="K75" i="32"/>
  <c r="R15" i="35"/>
  <c r="S9" i="35"/>
  <c r="R54" i="35"/>
  <c r="G33" i="32"/>
  <c r="G35" i="32" s="1"/>
  <c r="F78" i="32"/>
  <c r="F26" i="34" s="1"/>
  <c r="G11" i="28"/>
  <c r="F67" i="28"/>
  <c r="J13" i="37"/>
  <c r="I64" i="37"/>
  <c r="E64" i="28"/>
  <c r="F8" i="28"/>
  <c r="F74" i="28"/>
  <c r="G18" i="28"/>
  <c r="H68" i="34"/>
  <c r="I12" i="34"/>
  <c r="H22" i="34"/>
  <c r="G78" i="34"/>
  <c r="G69" i="34"/>
  <c r="H13" i="34"/>
  <c r="G23" i="34"/>
  <c r="F79" i="34"/>
  <c r="I18" i="35"/>
  <c r="H59" i="35"/>
  <c r="H15" i="37" s="1"/>
  <c r="H25" i="35"/>
  <c r="F62" i="28"/>
  <c r="G6" i="28"/>
  <c r="F76" i="34"/>
  <c r="G20" i="34"/>
  <c r="H16" i="7"/>
  <c r="I10" i="7"/>
  <c r="I43" i="7" s="1"/>
  <c r="H63" i="7"/>
  <c r="G13" i="28"/>
  <c r="F69" i="28"/>
  <c r="G32" i="7"/>
  <c r="F77" i="7"/>
  <c r="F25" i="28" s="1"/>
  <c r="H21" i="34"/>
  <c r="G77" i="34"/>
  <c r="F72" i="28"/>
  <c r="G16" i="28"/>
  <c r="I14" i="37"/>
  <c r="H65" i="37"/>
  <c r="F76" i="28"/>
  <c r="G20" i="28"/>
  <c r="J5" i="37"/>
  <c r="I56" i="37"/>
  <c r="H10" i="28"/>
  <c r="G66" i="28"/>
  <c r="G23" i="28"/>
  <c r="F79" i="28"/>
  <c r="H43" i="7"/>
  <c r="G68" i="28"/>
  <c r="H12" i="28"/>
  <c r="G72" i="34"/>
  <c r="H16" i="34"/>
  <c r="G71" i="34"/>
  <c r="H15" i="34"/>
  <c r="E82" i="34"/>
  <c r="G70" i="34"/>
  <c r="H14" i="34"/>
  <c r="J41" i="7"/>
  <c r="H31" i="32"/>
  <c r="G76" i="32"/>
  <c r="G24" i="34" s="1"/>
  <c r="G14" i="28"/>
  <c r="F70" i="28"/>
  <c r="I9" i="37"/>
  <c r="H60" i="37"/>
  <c r="I6" i="34"/>
  <c r="H62" i="34"/>
  <c r="J70" i="7"/>
  <c r="J67" i="7"/>
  <c r="J61" i="7"/>
  <c r="J62" i="7"/>
  <c r="J68" i="7"/>
  <c r="J72" i="7"/>
  <c r="J73" i="7"/>
  <c r="J58" i="7"/>
  <c r="J59" i="7"/>
  <c r="K54" i="7"/>
  <c r="J57" i="7"/>
  <c r="J75" i="7"/>
  <c r="J64" i="7"/>
  <c r="J65" i="7"/>
  <c r="J74" i="7"/>
  <c r="J60" i="7"/>
  <c r="J66" i="7"/>
  <c r="J71" i="7"/>
  <c r="I19" i="37"/>
  <c r="H70" i="37"/>
  <c r="F75" i="34"/>
  <c r="G19" i="34"/>
  <c r="G71" i="28"/>
  <c r="H15" i="28"/>
  <c r="F35" i="7"/>
  <c r="K41" i="32"/>
  <c r="F8" i="34"/>
  <c r="E64" i="34"/>
  <c r="G65" i="28"/>
  <c r="H9" i="28"/>
  <c r="F19" i="28"/>
  <c r="E75" i="28"/>
  <c r="E73" i="34"/>
  <c r="F17" i="34"/>
  <c r="G33" i="7"/>
  <c r="F78" i="7"/>
  <c r="F26" i="28" s="1"/>
  <c r="H20" i="7"/>
  <c r="G69" i="7"/>
  <c r="E38" i="7"/>
  <c r="D40" i="7"/>
  <c r="D43" i="7" s="1"/>
  <c r="H18" i="34"/>
  <c r="G74" i="34"/>
  <c r="H20" i="32"/>
  <c r="G69" i="32"/>
  <c r="I5" i="28"/>
  <c r="H61" i="28"/>
  <c r="G21" i="28"/>
  <c r="F77" i="28"/>
  <c r="I20" i="37"/>
  <c r="H71" i="37"/>
  <c r="F7" i="28"/>
  <c r="E63" i="28"/>
  <c r="E82" i="28"/>
  <c r="F17" i="28"/>
  <c r="E73" i="28"/>
  <c r="H7" i="37"/>
  <c r="G58" i="37"/>
  <c r="G22" i="37"/>
  <c r="G67" i="34"/>
  <c r="H11" i="34"/>
  <c r="F38" i="32"/>
  <c r="E40" i="32"/>
  <c r="E43" i="32" s="1"/>
  <c r="I16" i="37"/>
  <c r="H67" i="37"/>
  <c r="H31" i="7"/>
  <c r="G76" i="7"/>
  <c r="G24" i="28" s="1"/>
  <c r="D83" i="34"/>
  <c r="I65" i="34"/>
  <c r="J9" i="34"/>
  <c r="K15" i="35" l="1"/>
  <c r="K53" i="35"/>
  <c r="L12" i="37"/>
  <c r="K63" i="37"/>
  <c r="Q25" i="35"/>
  <c r="Q60" i="35"/>
  <c r="R19" i="35"/>
  <c r="J5" i="34"/>
  <c r="K5" i="34" s="1"/>
  <c r="K61" i="34" s="1"/>
  <c r="J10" i="32"/>
  <c r="J63" i="32" s="1"/>
  <c r="I63" i="32"/>
  <c r="I11" i="34" s="1"/>
  <c r="J10" i="37"/>
  <c r="I61" i="37"/>
  <c r="E83" i="28"/>
  <c r="I16" i="32"/>
  <c r="I68" i="37"/>
  <c r="J17" i="37"/>
  <c r="K62" i="37"/>
  <c r="L11" i="37"/>
  <c r="I57" i="37"/>
  <c r="J6" i="37"/>
  <c r="J72" i="37"/>
  <c r="K21" i="37"/>
  <c r="J8" i="37"/>
  <c r="I59" i="37"/>
  <c r="F81" i="28"/>
  <c r="H66" i="37"/>
  <c r="G80" i="28"/>
  <c r="E45" i="32"/>
  <c r="G81" i="34"/>
  <c r="G80" i="34"/>
  <c r="D45" i="7"/>
  <c r="F82" i="28"/>
  <c r="G7" i="28"/>
  <c r="F63" i="28"/>
  <c r="H33" i="7"/>
  <c r="G78" i="7"/>
  <c r="G26" i="28" s="1"/>
  <c r="I15" i="28"/>
  <c r="H71" i="28"/>
  <c r="H23" i="28"/>
  <c r="G79" i="28"/>
  <c r="H6" i="28"/>
  <c r="G62" i="28"/>
  <c r="I68" i="34"/>
  <c r="J12" i="34"/>
  <c r="F63" i="34"/>
  <c r="G7" i="34"/>
  <c r="F27" i="34"/>
  <c r="I31" i="7"/>
  <c r="H76" i="7"/>
  <c r="H24" i="28" s="1"/>
  <c r="G70" i="28"/>
  <c r="H14" i="28"/>
  <c r="H32" i="7"/>
  <c r="G77" i="7"/>
  <c r="G25" i="28" s="1"/>
  <c r="G67" i="28"/>
  <c r="H11" i="28"/>
  <c r="H29" i="35"/>
  <c r="G31" i="35"/>
  <c r="G34" i="35" s="1"/>
  <c r="G36" i="35" s="1"/>
  <c r="K18" i="37"/>
  <c r="J69" i="37"/>
  <c r="H66" i="28"/>
  <c r="I10" i="28"/>
  <c r="G77" i="28"/>
  <c r="H21" i="28"/>
  <c r="H71" i="34"/>
  <c r="I15" i="34"/>
  <c r="I59" i="35"/>
  <c r="I15" i="37" s="1"/>
  <c r="J18" i="35"/>
  <c r="I25" i="35"/>
  <c r="R32" i="35"/>
  <c r="Q34" i="35"/>
  <c r="Q36" i="35" s="1"/>
  <c r="H67" i="34"/>
  <c r="I9" i="28"/>
  <c r="H65" i="28"/>
  <c r="I70" i="37"/>
  <c r="J19" i="37"/>
  <c r="K72" i="7"/>
  <c r="K57" i="7"/>
  <c r="K74" i="7"/>
  <c r="K61" i="7"/>
  <c r="K64" i="7"/>
  <c r="K66" i="7"/>
  <c r="L54" i="7"/>
  <c r="K62" i="7"/>
  <c r="K73" i="7"/>
  <c r="K70" i="7"/>
  <c r="K71" i="7"/>
  <c r="K60" i="7"/>
  <c r="K65" i="7"/>
  <c r="K68" i="7"/>
  <c r="K67" i="7"/>
  <c r="K75" i="7"/>
  <c r="K58" i="7"/>
  <c r="K59" i="7"/>
  <c r="I31" i="32"/>
  <c r="H76" i="32"/>
  <c r="H24" i="34" s="1"/>
  <c r="J56" i="37"/>
  <c r="K5" i="37"/>
  <c r="G69" i="28"/>
  <c r="H13" i="28"/>
  <c r="H33" i="32"/>
  <c r="H35" i="32" s="1"/>
  <c r="H45" i="32" s="1"/>
  <c r="G78" i="32"/>
  <c r="G26" i="34" s="1"/>
  <c r="G8" i="28"/>
  <c r="F64" i="28"/>
  <c r="H78" i="28"/>
  <c r="I22" i="28"/>
  <c r="I7" i="37"/>
  <c r="H58" i="37"/>
  <c r="H22" i="37"/>
  <c r="I16" i="34"/>
  <c r="H72" i="34"/>
  <c r="I61" i="28"/>
  <c r="J5" i="28"/>
  <c r="E40" i="7"/>
  <c r="E43" i="7" s="1"/>
  <c r="F38" i="7"/>
  <c r="K41" i="7"/>
  <c r="J10" i="7"/>
  <c r="I16" i="7"/>
  <c r="I63" i="7"/>
  <c r="G79" i="34"/>
  <c r="H23" i="34"/>
  <c r="G17" i="34"/>
  <c r="F73" i="34"/>
  <c r="G75" i="34"/>
  <c r="H19" i="34"/>
  <c r="H20" i="28"/>
  <c r="G76" i="28"/>
  <c r="G38" i="32"/>
  <c r="F40" i="32"/>
  <c r="F43" i="32" s="1"/>
  <c r="F73" i="28"/>
  <c r="G17" i="28"/>
  <c r="F64" i="34"/>
  <c r="G8" i="34"/>
  <c r="I12" i="28"/>
  <c r="H68" i="28"/>
  <c r="I13" i="34"/>
  <c r="H69" i="34"/>
  <c r="F82" i="34"/>
  <c r="G74" i="28"/>
  <c r="H18" i="28"/>
  <c r="J65" i="34"/>
  <c r="K9" i="34"/>
  <c r="I20" i="7"/>
  <c r="H69" i="7"/>
  <c r="H70" i="34"/>
  <c r="I14" i="34"/>
  <c r="J14" i="37"/>
  <c r="I65" i="37"/>
  <c r="H20" i="34"/>
  <c r="G76" i="34"/>
  <c r="J64" i="37"/>
  <c r="K13" i="37"/>
  <c r="I32" i="32"/>
  <c r="H77" i="32"/>
  <c r="H25" i="34" s="1"/>
  <c r="I18" i="34"/>
  <c r="H74" i="34"/>
  <c r="J9" i="37"/>
  <c r="I60" i="37"/>
  <c r="I21" i="34"/>
  <c r="H77" i="34"/>
  <c r="J20" i="37"/>
  <c r="I71" i="37"/>
  <c r="F75" i="28"/>
  <c r="G19" i="28"/>
  <c r="J16" i="37"/>
  <c r="I67" i="37"/>
  <c r="G35" i="7"/>
  <c r="L41" i="32"/>
  <c r="H16" i="28"/>
  <c r="G72" i="28"/>
  <c r="S54" i="35"/>
  <c r="T9" i="35"/>
  <c r="S15" i="35"/>
  <c r="L57" i="32"/>
  <c r="L60" i="32"/>
  <c r="L61" i="32"/>
  <c r="L62" i="32"/>
  <c r="L58" i="32"/>
  <c r="M54" i="32"/>
  <c r="L74" i="32"/>
  <c r="L75" i="32"/>
  <c r="L73" i="32"/>
  <c r="L67" i="32"/>
  <c r="L68" i="32"/>
  <c r="L71" i="32"/>
  <c r="L72" i="32"/>
  <c r="L64" i="32"/>
  <c r="L65" i="32"/>
  <c r="L70" i="32"/>
  <c r="L59" i="32"/>
  <c r="L66" i="32"/>
  <c r="H66" i="34"/>
  <c r="I10" i="34"/>
  <c r="G73" i="37"/>
  <c r="I20" i="32"/>
  <c r="H69" i="32"/>
  <c r="J6" i="34"/>
  <c r="I62" i="34"/>
  <c r="F27" i="28"/>
  <c r="H78" i="34"/>
  <c r="I22" i="34"/>
  <c r="E83" i="34"/>
  <c r="J43" i="32" l="1"/>
  <c r="R60" i="35"/>
  <c r="S19" i="35"/>
  <c r="R25" i="35"/>
  <c r="L63" i="37"/>
  <c r="M12" i="37"/>
  <c r="J16" i="32"/>
  <c r="K10" i="32"/>
  <c r="K43" i="32" s="1"/>
  <c r="L5" i="34"/>
  <c r="L61" i="34" s="1"/>
  <c r="J61" i="34"/>
  <c r="F83" i="28"/>
  <c r="H35" i="7"/>
  <c r="H45" i="7" s="1"/>
  <c r="K10" i="37"/>
  <c r="J61" i="37"/>
  <c r="H73" i="37"/>
  <c r="K72" i="37"/>
  <c r="L21" i="37"/>
  <c r="J59" i="37"/>
  <c r="K8" i="37"/>
  <c r="K6" i="37"/>
  <c r="J57" i="37"/>
  <c r="L62" i="37"/>
  <c r="M11" i="37"/>
  <c r="J68" i="37"/>
  <c r="K17" i="37"/>
  <c r="H80" i="34"/>
  <c r="H80" i="28"/>
  <c r="E45" i="7"/>
  <c r="I66" i="37"/>
  <c r="G81" i="28"/>
  <c r="F45" i="32"/>
  <c r="H72" i="28"/>
  <c r="I16" i="28"/>
  <c r="L59" i="7"/>
  <c r="L61" i="7"/>
  <c r="L64" i="7"/>
  <c r="L60" i="7"/>
  <c r="L73" i="7"/>
  <c r="L72" i="7"/>
  <c r="L68" i="7"/>
  <c r="L58" i="7"/>
  <c r="L57" i="7"/>
  <c r="L67" i="7"/>
  <c r="L71" i="7"/>
  <c r="L70" i="7"/>
  <c r="L74" i="7"/>
  <c r="L75" i="7"/>
  <c r="L65" i="7"/>
  <c r="L62" i="7"/>
  <c r="M54" i="7"/>
  <c r="L66" i="7"/>
  <c r="M71" i="32"/>
  <c r="M73" i="32"/>
  <c r="N54" i="32"/>
  <c r="M64" i="32"/>
  <c r="M62" i="32"/>
  <c r="M75" i="32"/>
  <c r="M59" i="32"/>
  <c r="M72" i="32"/>
  <c r="M67" i="32"/>
  <c r="M58" i="32"/>
  <c r="M74" i="32"/>
  <c r="M70" i="32"/>
  <c r="M57" i="32"/>
  <c r="M68" i="32"/>
  <c r="M65" i="32"/>
  <c r="M66" i="32"/>
  <c r="M61" i="32"/>
  <c r="M60" i="32"/>
  <c r="M41" i="32"/>
  <c r="J71" i="37"/>
  <c r="K20" i="37"/>
  <c r="I20" i="34"/>
  <c r="H76" i="34"/>
  <c r="I13" i="28"/>
  <c r="H69" i="28"/>
  <c r="R34" i="35"/>
  <c r="R36" i="35" s="1"/>
  <c r="S32" i="35"/>
  <c r="L18" i="37"/>
  <c r="K69" i="37"/>
  <c r="H74" i="28"/>
  <c r="I18" i="28"/>
  <c r="I68" i="28"/>
  <c r="J12" i="28"/>
  <c r="H76" i="28"/>
  <c r="I20" i="28"/>
  <c r="J16" i="7"/>
  <c r="K10" i="7"/>
  <c r="K43" i="7" s="1"/>
  <c r="J63" i="7"/>
  <c r="I23" i="28"/>
  <c r="H79" i="28"/>
  <c r="J65" i="37"/>
  <c r="K14" i="37"/>
  <c r="G64" i="34"/>
  <c r="H8" i="34"/>
  <c r="L41" i="7"/>
  <c r="J7" i="37"/>
  <c r="I58" i="37"/>
  <c r="I22" i="37"/>
  <c r="J59" i="35"/>
  <c r="J15" i="37" s="1"/>
  <c r="J25" i="35"/>
  <c r="I29" i="35"/>
  <c r="H31" i="35"/>
  <c r="H34" i="35" s="1"/>
  <c r="H36" i="35" s="1"/>
  <c r="I70" i="34"/>
  <c r="J14" i="34"/>
  <c r="H75" i="34"/>
  <c r="I19" i="34"/>
  <c r="J43" i="7"/>
  <c r="K56" i="37"/>
  <c r="L5" i="37"/>
  <c r="J31" i="7"/>
  <c r="I76" i="7"/>
  <c r="I24" i="28" s="1"/>
  <c r="G82" i="28"/>
  <c r="J16" i="34"/>
  <c r="I72" i="34"/>
  <c r="G38" i="7"/>
  <c r="F40" i="7"/>
  <c r="F43" i="7" s="1"/>
  <c r="F45" i="7" s="1"/>
  <c r="I78" i="28"/>
  <c r="J22" i="28"/>
  <c r="I71" i="34"/>
  <c r="J15" i="34"/>
  <c r="H67" i="28"/>
  <c r="I11" i="28"/>
  <c r="I6" i="28"/>
  <c r="H62" i="28"/>
  <c r="J21" i="34"/>
  <c r="I77" i="34"/>
  <c r="K9" i="37"/>
  <c r="J60" i="37"/>
  <c r="G73" i="28"/>
  <c r="H17" i="28"/>
  <c r="K19" i="37"/>
  <c r="J70" i="37"/>
  <c r="H7" i="34"/>
  <c r="G63" i="34"/>
  <c r="G27" i="34"/>
  <c r="J15" i="28"/>
  <c r="I71" i="28"/>
  <c r="G82" i="34"/>
  <c r="K16" i="37"/>
  <c r="J67" i="37"/>
  <c r="I66" i="34"/>
  <c r="J10" i="34"/>
  <c r="G75" i="28"/>
  <c r="H19" i="28"/>
  <c r="J18" i="34"/>
  <c r="I74" i="34"/>
  <c r="J31" i="32"/>
  <c r="I76" i="32"/>
  <c r="I24" i="34" s="1"/>
  <c r="I21" i="28"/>
  <c r="H77" i="28"/>
  <c r="F83" i="34"/>
  <c r="J62" i="34"/>
  <c r="K6" i="34"/>
  <c r="U9" i="35"/>
  <c r="T15" i="35"/>
  <c r="T54" i="35"/>
  <c r="H17" i="34"/>
  <c r="G73" i="34"/>
  <c r="K5" i="28"/>
  <c r="J61" i="28"/>
  <c r="G64" i="28"/>
  <c r="H8" i="28"/>
  <c r="I32" i="7"/>
  <c r="H77" i="7"/>
  <c r="H25" i="28" s="1"/>
  <c r="J68" i="34"/>
  <c r="K12" i="34"/>
  <c r="I33" i="7"/>
  <c r="H78" i="7"/>
  <c r="H26" i="28" s="1"/>
  <c r="H81" i="34"/>
  <c r="J32" i="32"/>
  <c r="I77" i="32"/>
  <c r="I25" i="34" s="1"/>
  <c r="J20" i="7"/>
  <c r="I69" i="7"/>
  <c r="I65" i="28"/>
  <c r="J9" i="28"/>
  <c r="I66" i="28"/>
  <c r="J10" i="28"/>
  <c r="J20" i="32"/>
  <c r="I69" i="32"/>
  <c r="J22" i="34"/>
  <c r="I78" i="34"/>
  <c r="L13" i="37"/>
  <c r="K64" i="37"/>
  <c r="K65" i="34"/>
  <c r="L9" i="34"/>
  <c r="I69" i="34"/>
  <c r="J13" i="34"/>
  <c r="G40" i="32"/>
  <c r="G43" i="32" s="1"/>
  <c r="G45" i="32" s="1"/>
  <c r="H79" i="34"/>
  <c r="I23" i="34"/>
  <c r="I33" i="32"/>
  <c r="H78" i="32"/>
  <c r="H26" i="34" s="1"/>
  <c r="I67" i="34"/>
  <c r="J11" i="34"/>
  <c r="H70" i="28"/>
  <c r="I14" i="28"/>
  <c r="G27" i="28"/>
  <c r="G63" i="28"/>
  <c r="H7" i="28"/>
  <c r="N12" i="37" l="1"/>
  <c r="M63" i="37"/>
  <c r="S60" i="35"/>
  <c r="T19" i="35"/>
  <c r="S25" i="35"/>
  <c r="M5" i="34"/>
  <c r="M61" i="34" s="1"/>
  <c r="K16" i="32"/>
  <c r="K63" i="32"/>
  <c r="K11" i="34" s="1"/>
  <c r="L10" i="32"/>
  <c r="M10" i="32" s="1"/>
  <c r="M43" i="32" s="1"/>
  <c r="I35" i="7"/>
  <c r="I45" i="7" s="1"/>
  <c r="G83" i="28"/>
  <c r="L10" i="37"/>
  <c r="K61" i="37"/>
  <c r="G83" i="34"/>
  <c r="M62" i="37"/>
  <c r="N11" i="37"/>
  <c r="L8" i="37"/>
  <c r="K59" i="37"/>
  <c r="K68" i="37"/>
  <c r="L17" i="37"/>
  <c r="K57" i="37"/>
  <c r="L6" i="37"/>
  <c r="M21" i="37"/>
  <c r="L72" i="37"/>
  <c r="H82" i="34"/>
  <c r="I80" i="28"/>
  <c r="I80" i="34"/>
  <c r="G40" i="7"/>
  <c r="G43" i="7" s="1"/>
  <c r="H81" i="28"/>
  <c r="J66" i="28"/>
  <c r="K10" i="28"/>
  <c r="K62" i="34"/>
  <c r="L6" i="34"/>
  <c r="I75" i="34"/>
  <c r="J19" i="34"/>
  <c r="M41" i="7"/>
  <c r="H64" i="28"/>
  <c r="I8" i="28"/>
  <c r="K7" i="37"/>
  <c r="J58" i="37"/>
  <c r="J22" i="37"/>
  <c r="K15" i="37"/>
  <c r="J66" i="37"/>
  <c r="J65" i="28"/>
  <c r="K9" i="28"/>
  <c r="H63" i="34"/>
  <c r="I7" i="34"/>
  <c r="H27" i="34"/>
  <c r="I67" i="28"/>
  <c r="J11" i="28"/>
  <c r="K14" i="34"/>
  <c r="J70" i="34"/>
  <c r="H64" i="34"/>
  <c r="I8" i="34"/>
  <c r="K16" i="7"/>
  <c r="L10" i="7"/>
  <c r="L43" i="7" s="1"/>
  <c r="K63" i="7"/>
  <c r="M18" i="37"/>
  <c r="L69" i="37"/>
  <c r="M72" i="7"/>
  <c r="M73" i="7"/>
  <c r="N54" i="7"/>
  <c r="M60" i="7"/>
  <c r="M74" i="7"/>
  <c r="M61" i="7"/>
  <c r="M59" i="7"/>
  <c r="M62" i="7"/>
  <c r="M75" i="7"/>
  <c r="M66" i="7"/>
  <c r="M67" i="7"/>
  <c r="M68" i="7"/>
  <c r="M70" i="7"/>
  <c r="M58" i="7"/>
  <c r="M57" i="7"/>
  <c r="M65" i="7"/>
  <c r="M71" i="7"/>
  <c r="M64" i="7"/>
  <c r="J23" i="28"/>
  <c r="I79" i="28"/>
  <c r="J66" i="34"/>
  <c r="K10" i="34"/>
  <c r="L19" i="37"/>
  <c r="K70" i="37"/>
  <c r="J71" i="34"/>
  <c r="K15" i="34"/>
  <c r="L14" i="37"/>
  <c r="K65" i="37"/>
  <c r="J20" i="28"/>
  <c r="I76" i="28"/>
  <c r="J71" i="28"/>
  <c r="K15" i="28"/>
  <c r="I81" i="34"/>
  <c r="J16" i="28"/>
  <c r="I72" i="28"/>
  <c r="I17" i="34"/>
  <c r="H73" i="34"/>
  <c r="J21" i="28"/>
  <c r="I77" i="28"/>
  <c r="L16" i="37"/>
  <c r="K67" i="37"/>
  <c r="I17" i="28"/>
  <c r="H73" i="28"/>
  <c r="I31" i="35"/>
  <c r="I34" i="35" s="1"/>
  <c r="I36" i="35" s="1"/>
  <c r="J29" i="35"/>
  <c r="I70" i="28"/>
  <c r="J14" i="28"/>
  <c r="J67" i="34"/>
  <c r="J68" i="28"/>
  <c r="K12" i="28"/>
  <c r="I69" i="28"/>
  <c r="J13" i="28"/>
  <c r="M9" i="34"/>
  <c r="L65" i="34"/>
  <c r="K31" i="32"/>
  <c r="J76" i="32"/>
  <c r="J24" i="34" s="1"/>
  <c r="J78" i="28"/>
  <c r="K22" i="28"/>
  <c r="K31" i="7"/>
  <c r="J76" i="7"/>
  <c r="J24" i="28" s="1"/>
  <c r="K20" i="32"/>
  <c r="J69" i="32"/>
  <c r="I62" i="28"/>
  <c r="J6" i="28"/>
  <c r="T32" i="35"/>
  <c r="S34" i="35"/>
  <c r="S36" i="35" s="1"/>
  <c r="I79" i="34"/>
  <c r="J23" i="34"/>
  <c r="K20" i="7"/>
  <c r="J69" i="7"/>
  <c r="K68" i="34"/>
  <c r="L12" i="34"/>
  <c r="J78" i="34"/>
  <c r="K22" i="34"/>
  <c r="L9" i="37"/>
  <c r="K60" i="37"/>
  <c r="L56" i="37"/>
  <c r="M5" i="37"/>
  <c r="I74" i="28"/>
  <c r="J18" i="28"/>
  <c r="K13" i="34"/>
  <c r="J69" i="34"/>
  <c r="H27" i="28"/>
  <c r="L5" i="28"/>
  <c r="K61" i="28"/>
  <c r="M13" i="37"/>
  <c r="L64" i="37"/>
  <c r="K18" i="34"/>
  <c r="J74" i="34"/>
  <c r="I76" i="34"/>
  <c r="J20" i="34"/>
  <c r="N75" i="32"/>
  <c r="N67" i="32"/>
  <c r="N58" i="32"/>
  <c r="N73" i="32"/>
  <c r="N66" i="32"/>
  <c r="N74" i="32"/>
  <c r="N71" i="32"/>
  <c r="N65" i="32"/>
  <c r="O54" i="32"/>
  <c r="N59" i="32"/>
  <c r="N60" i="32"/>
  <c r="N62" i="32"/>
  <c r="N72" i="32"/>
  <c r="N68" i="32"/>
  <c r="N61" i="32"/>
  <c r="N70" i="32"/>
  <c r="N64" i="32"/>
  <c r="N57" i="32"/>
  <c r="N5" i="34" s="1"/>
  <c r="J72" i="34"/>
  <c r="K16" i="34"/>
  <c r="N41" i="32"/>
  <c r="H82" i="28"/>
  <c r="J33" i="32"/>
  <c r="I78" i="32"/>
  <c r="I26" i="34" s="1"/>
  <c r="J33" i="7"/>
  <c r="I78" i="7"/>
  <c r="I26" i="28" s="1"/>
  <c r="K32" i="32"/>
  <c r="J77" i="32"/>
  <c r="J25" i="34" s="1"/>
  <c r="H63" i="28"/>
  <c r="I7" i="28"/>
  <c r="I35" i="32"/>
  <c r="I45" i="32" s="1"/>
  <c r="J32" i="7"/>
  <c r="I77" i="7"/>
  <c r="I25" i="28" s="1"/>
  <c r="V9" i="35"/>
  <c r="U54" i="35"/>
  <c r="U15" i="35"/>
  <c r="I19" i="28"/>
  <c r="H75" i="28"/>
  <c r="J77" i="34"/>
  <c r="K21" i="34"/>
  <c r="I73" i="37"/>
  <c r="L20" i="37"/>
  <c r="K71" i="37"/>
  <c r="T60" i="35" l="1"/>
  <c r="T25" i="35"/>
  <c r="U19" i="35"/>
  <c r="N63" i="37"/>
  <c r="O12" i="37"/>
  <c r="L43" i="32"/>
  <c r="L16" i="32"/>
  <c r="L63" i="32"/>
  <c r="L11" i="34" s="1"/>
  <c r="L61" i="37"/>
  <c r="M10" i="37"/>
  <c r="H83" i="28"/>
  <c r="L57" i="37"/>
  <c r="M6" i="37"/>
  <c r="N21" i="37"/>
  <c r="M72" i="37"/>
  <c r="M17" i="37"/>
  <c r="L68" i="37"/>
  <c r="M8" i="37"/>
  <c r="L59" i="37"/>
  <c r="O11" i="37"/>
  <c r="N62" i="37"/>
  <c r="I81" i="28"/>
  <c r="G45" i="7"/>
  <c r="I82" i="28"/>
  <c r="I82" i="34"/>
  <c r="I27" i="28"/>
  <c r="J80" i="28"/>
  <c r="N61" i="34"/>
  <c r="J81" i="34"/>
  <c r="I75" i="28"/>
  <c r="J19" i="28"/>
  <c r="K77" i="34"/>
  <c r="L21" i="34"/>
  <c r="K72" i="34"/>
  <c r="L16" i="34"/>
  <c r="L20" i="7"/>
  <c r="K69" i="7"/>
  <c r="M56" i="37"/>
  <c r="N5" i="37"/>
  <c r="K68" i="28"/>
  <c r="L12" i="28"/>
  <c r="L70" i="37"/>
  <c r="M19" i="37"/>
  <c r="N41" i="7"/>
  <c r="K20" i="34"/>
  <c r="J76" i="34"/>
  <c r="L61" i="28"/>
  <c r="M5" i="28"/>
  <c r="L31" i="7"/>
  <c r="K76" i="7"/>
  <c r="K24" i="28" s="1"/>
  <c r="K71" i="28"/>
  <c r="L15" i="28"/>
  <c r="O54" i="7"/>
  <c r="N61" i="7"/>
  <c r="N64" i="7"/>
  <c r="N66" i="7"/>
  <c r="N73" i="7"/>
  <c r="N57" i="7"/>
  <c r="N60" i="7"/>
  <c r="N62" i="7"/>
  <c r="N65" i="7"/>
  <c r="N72" i="7"/>
  <c r="N59" i="7"/>
  <c r="N75" i="7"/>
  <c r="N71" i="7"/>
  <c r="N68" i="7"/>
  <c r="N58" i="7"/>
  <c r="N74" i="7"/>
  <c r="N67" i="7"/>
  <c r="N70" i="7"/>
  <c r="J67" i="28"/>
  <c r="K11" i="28"/>
  <c r="J73" i="37"/>
  <c r="K19" i="34"/>
  <c r="J75" i="34"/>
  <c r="K78" i="34"/>
  <c r="L22" i="34"/>
  <c r="U32" i="35"/>
  <c r="T34" i="35"/>
  <c r="T36" i="35" s="1"/>
  <c r="K23" i="28"/>
  <c r="J79" i="28"/>
  <c r="I64" i="28"/>
  <c r="J8" i="28"/>
  <c r="K78" i="28"/>
  <c r="L22" i="28"/>
  <c r="J80" i="34"/>
  <c r="V15" i="35"/>
  <c r="W9" i="35"/>
  <c r="V54" i="35"/>
  <c r="O71" i="32"/>
  <c r="P54" i="32"/>
  <c r="O73" i="32"/>
  <c r="O61" i="32"/>
  <c r="O65" i="32"/>
  <c r="O58" i="32"/>
  <c r="O64" i="32"/>
  <c r="O59" i="32"/>
  <c r="O75" i="32"/>
  <c r="O62" i="32"/>
  <c r="O74" i="32"/>
  <c r="O66" i="32"/>
  <c r="O68" i="32"/>
  <c r="O72" i="32"/>
  <c r="O57" i="32"/>
  <c r="O5" i="34" s="1"/>
  <c r="O60" i="32"/>
  <c r="O67" i="32"/>
  <c r="O70" i="32"/>
  <c r="K69" i="34"/>
  <c r="L13" i="34"/>
  <c r="K67" i="34"/>
  <c r="M16" i="37"/>
  <c r="L67" i="37"/>
  <c r="J7" i="34"/>
  <c r="I63" i="34"/>
  <c r="I27" i="34"/>
  <c r="L68" i="34"/>
  <c r="M12" i="34"/>
  <c r="J62" i="28"/>
  <c r="K6" i="28"/>
  <c r="L31" i="32"/>
  <c r="K76" i="32"/>
  <c r="K24" i="34" s="1"/>
  <c r="J70" i="28"/>
  <c r="K14" i="28"/>
  <c r="J76" i="28"/>
  <c r="K20" i="28"/>
  <c r="N18" i="37"/>
  <c r="M69" i="37"/>
  <c r="H83" i="34"/>
  <c r="M6" i="34"/>
  <c r="L62" i="34"/>
  <c r="K66" i="34"/>
  <c r="L10" i="34"/>
  <c r="K33" i="32"/>
  <c r="K35" i="32" s="1"/>
  <c r="K45" i="32" s="1"/>
  <c r="J78" i="32"/>
  <c r="J26" i="34" s="1"/>
  <c r="L60" i="37"/>
  <c r="M9" i="37"/>
  <c r="J74" i="28"/>
  <c r="K18" i="28"/>
  <c r="K21" i="28"/>
  <c r="J77" i="28"/>
  <c r="K33" i="7"/>
  <c r="J78" i="7"/>
  <c r="J26" i="28" s="1"/>
  <c r="M20" i="37"/>
  <c r="L71" i="37"/>
  <c r="J7" i="28"/>
  <c r="I63" i="28"/>
  <c r="O41" i="32"/>
  <c r="L18" i="34"/>
  <c r="K74" i="34"/>
  <c r="N9" i="34"/>
  <c r="M65" i="34"/>
  <c r="L65" i="37"/>
  <c r="M14" i="37"/>
  <c r="M10" i="7"/>
  <c r="L63" i="7"/>
  <c r="L16" i="7"/>
  <c r="L9" i="28"/>
  <c r="K65" i="28"/>
  <c r="L10" i="28"/>
  <c r="K66" i="28"/>
  <c r="K70" i="34"/>
  <c r="L14" i="34"/>
  <c r="J17" i="28"/>
  <c r="I73" i="28"/>
  <c r="K58" i="37"/>
  <c r="L7" i="37"/>
  <c r="K22" i="37"/>
  <c r="K32" i="7"/>
  <c r="J77" i="7"/>
  <c r="J25" i="28" s="1"/>
  <c r="J35" i="7"/>
  <c r="J35" i="32"/>
  <c r="J45" i="32" s="1"/>
  <c r="K29" i="35"/>
  <c r="J31" i="35"/>
  <c r="J34" i="35" s="1"/>
  <c r="J36" i="35" s="1"/>
  <c r="I73" i="34"/>
  <c r="J17" i="34"/>
  <c r="K71" i="34"/>
  <c r="L15" i="34"/>
  <c r="M63" i="32"/>
  <c r="N10" i="32"/>
  <c r="N43" i="32" s="1"/>
  <c r="M16" i="32"/>
  <c r="L20" i="32"/>
  <c r="K69" i="32"/>
  <c r="K13" i="28"/>
  <c r="J69" i="28"/>
  <c r="I64" i="34"/>
  <c r="J8" i="34"/>
  <c r="L32" i="32"/>
  <c r="K77" i="32"/>
  <c r="K25" i="34" s="1"/>
  <c r="M64" i="37"/>
  <c r="N13" i="37"/>
  <c r="K23" i="34"/>
  <c r="J79" i="34"/>
  <c r="K16" i="28"/>
  <c r="J72" i="28"/>
  <c r="L15" i="37"/>
  <c r="K66" i="37"/>
  <c r="P12" i="37" l="1"/>
  <c r="O63" i="37"/>
  <c r="U60" i="35"/>
  <c r="V19" i="35"/>
  <c r="U25" i="35"/>
  <c r="N10" i="37"/>
  <c r="M61" i="37"/>
  <c r="I83" i="28"/>
  <c r="O62" i="37"/>
  <c r="P11" i="37"/>
  <c r="N8" i="37"/>
  <c r="M59" i="37"/>
  <c r="N17" i="37"/>
  <c r="M68" i="37"/>
  <c r="N72" i="37"/>
  <c r="O21" i="37"/>
  <c r="M57" i="37"/>
  <c r="N6" i="37"/>
  <c r="J82" i="34"/>
  <c r="O61" i="34"/>
  <c r="K80" i="28"/>
  <c r="J82" i="28"/>
  <c r="J81" i="28"/>
  <c r="K81" i="34"/>
  <c r="L18" i="28"/>
  <c r="K74" i="28"/>
  <c r="N10" i="7"/>
  <c r="N43" i="7" s="1"/>
  <c r="M63" i="7"/>
  <c r="M16" i="7"/>
  <c r="J64" i="34"/>
  <c r="K8" i="34"/>
  <c r="K7" i="28"/>
  <c r="J63" i="28"/>
  <c r="M62" i="34"/>
  <c r="N6" i="34"/>
  <c r="J27" i="28"/>
  <c r="L69" i="34"/>
  <c r="M13" i="34"/>
  <c r="Q54" i="32"/>
  <c r="P64" i="32"/>
  <c r="P57" i="32"/>
  <c r="P5" i="34" s="1"/>
  <c r="P75" i="32"/>
  <c r="P71" i="32"/>
  <c r="P62" i="32"/>
  <c r="P66" i="32"/>
  <c r="P68" i="32"/>
  <c r="P67" i="32"/>
  <c r="P59" i="32"/>
  <c r="P65" i="32"/>
  <c r="P60" i="32"/>
  <c r="P72" i="32"/>
  <c r="P58" i="32"/>
  <c r="P70" i="32"/>
  <c r="P73" i="32"/>
  <c r="P74" i="32"/>
  <c r="P61" i="32"/>
  <c r="J64" i="28"/>
  <c r="K8" i="28"/>
  <c r="M43" i="7"/>
  <c r="M20" i="7"/>
  <c r="L69" i="7"/>
  <c r="L66" i="37"/>
  <c r="M15" i="37"/>
  <c r="K69" i="28"/>
  <c r="L13" i="28"/>
  <c r="J73" i="34"/>
  <c r="K17" i="34"/>
  <c r="N14" i="37"/>
  <c r="M65" i="37"/>
  <c r="N9" i="37"/>
  <c r="M60" i="37"/>
  <c r="N69" i="37"/>
  <c r="O18" i="37"/>
  <c r="M68" i="34"/>
  <c r="N12" i="34"/>
  <c r="W15" i="35"/>
  <c r="X9" i="35"/>
  <c r="W54" i="35"/>
  <c r="K79" i="28"/>
  <c r="L23" i="28"/>
  <c r="M21" i="34"/>
  <c r="L77" i="34"/>
  <c r="L6" i="28"/>
  <c r="K62" i="28"/>
  <c r="M70" i="37"/>
  <c r="N19" i="37"/>
  <c r="L16" i="28"/>
  <c r="K72" i="28"/>
  <c r="V32" i="35"/>
  <c r="U34" i="35"/>
  <c r="U36" i="35" s="1"/>
  <c r="L68" i="28"/>
  <c r="M12" i="28"/>
  <c r="K19" i="28"/>
  <c r="J75" i="28"/>
  <c r="L33" i="7"/>
  <c r="K78" i="7"/>
  <c r="K26" i="28" s="1"/>
  <c r="L33" i="32"/>
  <c r="K78" i="32"/>
  <c r="K26" i="34" s="1"/>
  <c r="K76" i="28"/>
  <c r="L20" i="28"/>
  <c r="I83" i="34"/>
  <c r="K80" i="34"/>
  <c r="L78" i="34"/>
  <c r="M22" i="34"/>
  <c r="N5" i="28"/>
  <c r="M61" i="28"/>
  <c r="K17" i="28"/>
  <c r="J73" i="28"/>
  <c r="L66" i="34"/>
  <c r="M10" i="34"/>
  <c r="J63" i="34"/>
  <c r="K7" i="34"/>
  <c r="J27" i="34"/>
  <c r="L78" i="28"/>
  <c r="M22" i="28"/>
  <c r="O5" i="37"/>
  <c r="N56" i="37"/>
  <c r="L70" i="34"/>
  <c r="M14" i="34"/>
  <c r="K79" i="34"/>
  <c r="L23" i="34"/>
  <c r="N64" i="37"/>
  <c r="O13" i="37"/>
  <c r="L74" i="34"/>
  <c r="M18" i="34"/>
  <c r="K70" i="28"/>
  <c r="L14" i="28"/>
  <c r="L71" i="34"/>
  <c r="M15" i="34"/>
  <c r="M20" i="32"/>
  <c r="L69" i="32"/>
  <c r="N65" i="34"/>
  <c r="O9" i="34"/>
  <c r="K31" i="35"/>
  <c r="K34" i="35" s="1"/>
  <c r="K36" i="35" s="1"/>
  <c r="M67" i="37"/>
  <c r="N16" i="37"/>
  <c r="K75" i="34"/>
  <c r="L19" i="34"/>
  <c r="K76" i="34"/>
  <c r="L20" i="34"/>
  <c r="L58" i="37"/>
  <c r="M7" i="37"/>
  <c r="L22" i="37"/>
  <c r="K73" i="37"/>
  <c r="M31" i="7"/>
  <c r="L76" i="7"/>
  <c r="L24" i="28" s="1"/>
  <c r="J45" i="7"/>
  <c r="M10" i="28"/>
  <c r="L66" i="28"/>
  <c r="M32" i="32"/>
  <c r="L77" i="32"/>
  <c r="L25" i="34" s="1"/>
  <c r="N63" i="32"/>
  <c r="N16" i="32"/>
  <c r="O10" i="32"/>
  <c r="O43" i="32" s="1"/>
  <c r="P41" i="32"/>
  <c r="O62" i="7"/>
  <c r="O60" i="7"/>
  <c r="O68" i="7"/>
  <c r="O75" i="7"/>
  <c r="O66" i="7"/>
  <c r="O72" i="7"/>
  <c r="P54" i="7"/>
  <c r="O58" i="7"/>
  <c r="O71" i="7"/>
  <c r="O74" i="7"/>
  <c r="O64" i="7"/>
  <c r="O67" i="7"/>
  <c r="O70" i="7"/>
  <c r="O73" i="7"/>
  <c r="O61" i="7"/>
  <c r="O59" i="7"/>
  <c r="O57" i="7"/>
  <c r="O65" i="7"/>
  <c r="M16" i="34"/>
  <c r="L72" i="34"/>
  <c r="M71" i="37"/>
  <c r="N20" i="37"/>
  <c r="L32" i="7"/>
  <c r="K77" i="7"/>
  <c r="K25" i="28" s="1"/>
  <c r="M9" i="28"/>
  <c r="L65" i="28"/>
  <c r="K77" i="28"/>
  <c r="L21" i="28"/>
  <c r="M31" i="32"/>
  <c r="L76" i="32"/>
  <c r="L24" i="34" s="1"/>
  <c r="M11" i="34"/>
  <c r="L67" i="34"/>
  <c r="K67" i="28"/>
  <c r="L11" i="28"/>
  <c r="L71" i="28"/>
  <c r="M15" i="28"/>
  <c r="O41" i="7"/>
  <c r="K35" i="7"/>
  <c r="K45" i="7" s="1"/>
  <c r="P63" i="37" l="1"/>
  <c r="Q12" i="37"/>
  <c r="V25" i="35"/>
  <c r="V60" i="35"/>
  <c r="W19" i="35"/>
  <c r="L35" i="7"/>
  <c r="L45" i="7" s="1"/>
  <c r="O10" i="37"/>
  <c r="N61" i="37"/>
  <c r="J83" i="28"/>
  <c r="J83" i="34"/>
  <c r="Q11" i="37"/>
  <c r="P62" i="37"/>
  <c r="O72" i="37"/>
  <c r="P21" i="37"/>
  <c r="O6" i="37"/>
  <c r="N57" i="37"/>
  <c r="O17" i="37"/>
  <c r="N68" i="37"/>
  <c r="N59" i="37"/>
  <c r="O8" i="37"/>
  <c r="K82" i="34"/>
  <c r="P61" i="34"/>
  <c r="L80" i="28"/>
  <c r="L80" i="34"/>
  <c r="K82" i="28"/>
  <c r="L81" i="34"/>
  <c r="K81" i="28"/>
  <c r="N67" i="37"/>
  <c r="O16" i="37"/>
  <c r="L79" i="34"/>
  <c r="M23" i="34"/>
  <c r="W32" i="35"/>
  <c r="V34" i="35"/>
  <c r="V36" i="35" s="1"/>
  <c r="N68" i="34"/>
  <c r="O12" i="34"/>
  <c r="M66" i="37"/>
  <c r="N15" i="37"/>
  <c r="P18" i="37"/>
  <c r="O69" i="37"/>
  <c r="O63" i="32"/>
  <c r="P10" i="32"/>
  <c r="P43" i="32" s="1"/>
  <c r="O16" i="32"/>
  <c r="N31" i="7"/>
  <c r="M76" i="7"/>
  <c r="M24" i="28" s="1"/>
  <c r="N70" i="37"/>
  <c r="O19" i="37"/>
  <c r="L70" i="28"/>
  <c r="M14" i="28"/>
  <c r="L17" i="28"/>
  <c r="K73" i="28"/>
  <c r="M33" i="32"/>
  <c r="M35" i="32" s="1"/>
  <c r="M45" i="32" s="1"/>
  <c r="L78" i="32"/>
  <c r="L26" i="34" s="1"/>
  <c r="N21" i="34"/>
  <c r="M77" i="34"/>
  <c r="N20" i="7"/>
  <c r="M69" i="7"/>
  <c r="L8" i="34"/>
  <c r="K64" i="34"/>
  <c r="M66" i="34"/>
  <c r="N10" i="34"/>
  <c r="K63" i="28"/>
  <c r="L7" i="28"/>
  <c r="P5" i="37"/>
  <c r="O56" i="37"/>
  <c r="K27" i="28"/>
  <c r="L79" i="28"/>
  <c r="M23" i="28"/>
  <c r="O9" i="37"/>
  <c r="N60" i="37"/>
  <c r="Q71" i="32"/>
  <c r="Q59" i="32"/>
  <c r="Q75" i="32"/>
  <c r="Q65" i="32"/>
  <c r="Q58" i="32"/>
  <c r="Q64" i="32"/>
  <c r="Q60" i="32"/>
  <c r="Q57" i="32"/>
  <c r="Q5" i="34" s="1"/>
  <c r="Q74" i="32"/>
  <c r="Q70" i="32"/>
  <c r="Q61" i="32"/>
  <c r="Q72" i="32"/>
  <c r="R54" i="32"/>
  <c r="Q73" i="32"/>
  <c r="Q68" i="32"/>
  <c r="Q62" i="32"/>
  <c r="Q66" i="32"/>
  <c r="Q67" i="32"/>
  <c r="N31" i="32"/>
  <c r="M76" i="32"/>
  <c r="M24" i="34" s="1"/>
  <c r="M33" i="7"/>
  <c r="L78" i="7"/>
  <c r="L26" i="28" s="1"/>
  <c r="K64" i="28"/>
  <c r="L8" i="28"/>
  <c r="M69" i="34"/>
  <c r="N13" i="34"/>
  <c r="M71" i="34"/>
  <c r="N15" i="34"/>
  <c r="Q41" i="32"/>
  <c r="N18" i="34"/>
  <c r="M74" i="34"/>
  <c r="N32" i="32"/>
  <c r="M77" i="32"/>
  <c r="M25" i="34" s="1"/>
  <c r="L73" i="37"/>
  <c r="P9" i="34"/>
  <c r="O65" i="34"/>
  <c r="O5" i="28"/>
  <c r="N61" i="28"/>
  <c r="L62" i="28"/>
  <c r="M6" i="28"/>
  <c r="N65" i="37"/>
  <c r="O14" i="37"/>
  <c r="L67" i="28"/>
  <c r="M11" i="28"/>
  <c r="N9" i="28"/>
  <c r="M65" i="28"/>
  <c r="M20" i="34"/>
  <c r="L76" i="34"/>
  <c r="M78" i="28"/>
  <c r="N22" i="28"/>
  <c r="M78" i="34"/>
  <c r="N22" i="34"/>
  <c r="K75" i="28"/>
  <c r="L19" i="28"/>
  <c r="X54" i="35"/>
  <c r="Y9" i="35"/>
  <c r="X15" i="35"/>
  <c r="L17" i="34"/>
  <c r="K73" i="34"/>
  <c r="N63" i="7"/>
  <c r="N16" i="7"/>
  <c r="O10" i="7"/>
  <c r="N14" i="34"/>
  <c r="M70" i="34"/>
  <c r="P41" i="7"/>
  <c r="M71" i="28"/>
  <c r="N15" i="28"/>
  <c r="N7" i="37"/>
  <c r="M58" i="37"/>
  <c r="M22" i="37"/>
  <c r="N10" i="28"/>
  <c r="M66" i="28"/>
  <c r="N12" i="28"/>
  <c r="M68" i="28"/>
  <c r="N16" i="34"/>
  <c r="M72" i="34"/>
  <c r="L72" i="28"/>
  <c r="M16" i="28"/>
  <c r="L77" i="28"/>
  <c r="M21" i="28"/>
  <c r="P64" i="7"/>
  <c r="P57" i="7"/>
  <c r="P66" i="7"/>
  <c r="P65" i="7"/>
  <c r="P73" i="7"/>
  <c r="P71" i="7"/>
  <c r="P61" i="7"/>
  <c r="P74" i="7"/>
  <c r="P70" i="7"/>
  <c r="P75" i="7"/>
  <c r="P62" i="7"/>
  <c r="P58" i="7"/>
  <c r="P68" i="7"/>
  <c r="Q54" i="7"/>
  <c r="P60" i="7"/>
  <c r="P72" i="7"/>
  <c r="P59" i="7"/>
  <c r="P67" i="7"/>
  <c r="M32" i="7"/>
  <c r="L77" i="7"/>
  <c r="L25" i="28" s="1"/>
  <c r="L75" i="34"/>
  <c r="M19" i="34"/>
  <c r="L35" i="32"/>
  <c r="L45" i="32" s="1"/>
  <c r="P13" i="37"/>
  <c r="O64" i="37"/>
  <c r="L69" i="28"/>
  <c r="M13" i="28"/>
  <c r="N62" i="34"/>
  <c r="O6" i="34"/>
  <c r="L74" i="28"/>
  <c r="M18" i="28"/>
  <c r="N11" i="34"/>
  <c r="M67" i="34"/>
  <c r="L76" i="28"/>
  <c r="M20" i="28"/>
  <c r="O20" i="37"/>
  <c r="N71" i="37"/>
  <c r="N20" i="32"/>
  <c r="M69" i="32"/>
  <c r="L7" i="34"/>
  <c r="K63" i="34"/>
  <c r="K27" i="34"/>
  <c r="R12" i="37" l="1"/>
  <c r="Q63" i="37"/>
  <c r="X19" i="35"/>
  <c r="W60" i="35"/>
  <c r="W25" i="35"/>
  <c r="M73" i="37"/>
  <c r="K83" i="34"/>
  <c r="M35" i="7"/>
  <c r="M45" i="7" s="1"/>
  <c r="O61" i="37"/>
  <c r="P10" i="37"/>
  <c r="K83" i="28"/>
  <c r="Q62" i="37"/>
  <c r="R11" i="37"/>
  <c r="P8" i="37"/>
  <c r="O59" i="37"/>
  <c r="P17" i="37"/>
  <c r="O68" i="37"/>
  <c r="O57" i="37"/>
  <c r="P6" i="37"/>
  <c r="P72" i="37"/>
  <c r="Q21" i="37"/>
  <c r="L82" i="28"/>
  <c r="L81" i="28"/>
  <c r="M81" i="34"/>
  <c r="L82" i="34"/>
  <c r="Q61" i="34"/>
  <c r="R5" i="34"/>
  <c r="M80" i="28"/>
  <c r="N78" i="34"/>
  <c r="O22" i="34"/>
  <c r="M8" i="28"/>
  <c r="L64" i="28"/>
  <c r="O20" i="7"/>
  <c r="N69" i="7"/>
  <c r="X32" i="35"/>
  <c r="W34" i="35"/>
  <c r="W36" i="35" s="1"/>
  <c r="N70" i="34"/>
  <c r="O14" i="34"/>
  <c r="P56" i="37"/>
  <c r="Q5" i="37"/>
  <c r="O31" i="7"/>
  <c r="N76" i="7"/>
  <c r="N24" i="28" s="1"/>
  <c r="M79" i="34"/>
  <c r="N23" i="34"/>
  <c r="M80" i="34"/>
  <c r="O10" i="28"/>
  <c r="N66" i="28"/>
  <c r="N78" i="28"/>
  <c r="O22" i="28"/>
  <c r="P14" i="37"/>
  <c r="O65" i="37"/>
  <c r="O32" i="32"/>
  <c r="N77" i="32"/>
  <c r="N25" i="34" s="1"/>
  <c r="N77" i="34"/>
  <c r="O21" i="34"/>
  <c r="M77" i="28"/>
  <c r="N21" i="28"/>
  <c r="P63" i="32"/>
  <c r="P16" i="32"/>
  <c r="Q10" i="32"/>
  <c r="O67" i="37"/>
  <c r="P16" i="37"/>
  <c r="N69" i="34"/>
  <c r="O13" i="34"/>
  <c r="Q9" i="34"/>
  <c r="P65" i="34"/>
  <c r="M72" i="28"/>
  <c r="N16" i="28"/>
  <c r="L27" i="28"/>
  <c r="N74" i="34"/>
  <c r="O18" i="34"/>
  <c r="N33" i="7"/>
  <c r="M78" i="7"/>
  <c r="M26" i="28" s="1"/>
  <c r="M7" i="28"/>
  <c r="L63" i="28"/>
  <c r="N33" i="32"/>
  <c r="M78" i="32"/>
  <c r="M26" i="34" s="1"/>
  <c r="M76" i="28"/>
  <c r="N20" i="28"/>
  <c r="O7" i="37"/>
  <c r="N58" i="37"/>
  <c r="N22" i="37"/>
  <c r="N6" i="28"/>
  <c r="M62" i="28"/>
  <c r="R41" i="32"/>
  <c r="R59" i="32"/>
  <c r="R67" i="32"/>
  <c r="R70" i="32"/>
  <c r="R74" i="32"/>
  <c r="R68" i="32"/>
  <c r="R73" i="32"/>
  <c r="R62" i="32"/>
  <c r="R60" i="32"/>
  <c r="R71" i="32"/>
  <c r="R58" i="32"/>
  <c r="R72" i="32"/>
  <c r="R66" i="32"/>
  <c r="R75" i="32"/>
  <c r="S54" i="32"/>
  <c r="R65" i="32"/>
  <c r="R64" i="32"/>
  <c r="R57" i="32"/>
  <c r="R61" i="32"/>
  <c r="M19" i="28"/>
  <c r="L75" i="28"/>
  <c r="N32" i="7"/>
  <c r="M77" i="7"/>
  <c r="M25" i="28" s="1"/>
  <c r="N13" i="28"/>
  <c r="M69" i="28"/>
  <c r="N71" i="28"/>
  <c r="O15" i="28"/>
  <c r="L73" i="34"/>
  <c r="M17" i="34"/>
  <c r="N66" i="34"/>
  <c r="O10" i="34"/>
  <c r="L73" i="28"/>
  <c r="M17" i="28"/>
  <c r="P69" i="37"/>
  <c r="Q18" i="37"/>
  <c r="M67" i="28"/>
  <c r="N11" i="28"/>
  <c r="O70" i="37"/>
  <c r="P19" i="37"/>
  <c r="O63" i="7"/>
  <c r="P10" i="7"/>
  <c r="P43" i="7" s="1"/>
  <c r="O16" i="7"/>
  <c r="N72" i="34"/>
  <c r="O16" i="34"/>
  <c r="M76" i="34"/>
  <c r="N20" i="34"/>
  <c r="O15" i="34"/>
  <c r="N71" i="34"/>
  <c r="O31" i="32"/>
  <c r="N76" i="32"/>
  <c r="N24" i="34" s="1"/>
  <c r="P9" i="37"/>
  <c r="O60" i="37"/>
  <c r="O15" i="37"/>
  <c r="N66" i="37"/>
  <c r="O20" i="32"/>
  <c r="N69" i="32"/>
  <c r="O71" i="37"/>
  <c r="P20" i="37"/>
  <c r="Q71" i="7"/>
  <c r="R54" i="7"/>
  <c r="Q72" i="7"/>
  <c r="Q73" i="7"/>
  <c r="Q58" i="7"/>
  <c r="Q64" i="7"/>
  <c r="Q57" i="7"/>
  <c r="Q65" i="7"/>
  <c r="Q70" i="7"/>
  <c r="Q62" i="7"/>
  <c r="Q74" i="7"/>
  <c r="Q68" i="7"/>
  <c r="Q60" i="7"/>
  <c r="Q67" i="7"/>
  <c r="Q61" i="7"/>
  <c r="Q59" i="7"/>
  <c r="Q66" i="7"/>
  <c r="Q75" i="7"/>
  <c r="O43" i="7"/>
  <c r="Y15" i="35"/>
  <c r="Y54" i="35"/>
  <c r="Z9" i="35"/>
  <c r="O61" i="28"/>
  <c r="P5" i="28"/>
  <c r="M79" i="28"/>
  <c r="N23" i="28"/>
  <c r="N14" i="28"/>
  <c r="M70" i="28"/>
  <c r="M7" i="34"/>
  <c r="L63" i="34"/>
  <c r="L27" i="34"/>
  <c r="O62" i="34"/>
  <c r="P6" i="34"/>
  <c r="O12" i="28"/>
  <c r="N68" i="28"/>
  <c r="P64" i="37"/>
  <c r="Q13" i="37"/>
  <c r="N67" i="34"/>
  <c r="O11" i="34"/>
  <c r="M74" i="28"/>
  <c r="N18" i="28"/>
  <c r="M75" i="34"/>
  <c r="N19" i="34"/>
  <c r="Q41" i="7"/>
  <c r="O9" i="28"/>
  <c r="N65" i="28"/>
  <c r="L64" i="34"/>
  <c r="M8" i="34"/>
  <c r="O68" i="34"/>
  <c r="P12" i="34"/>
  <c r="X25" i="35" l="1"/>
  <c r="Y19" i="35"/>
  <c r="X60" i="35"/>
  <c r="R63" i="37"/>
  <c r="S12" i="37"/>
  <c r="P61" i="37"/>
  <c r="Q10" i="37"/>
  <c r="L83" i="28"/>
  <c r="N35" i="7"/>
  <c r="N45" i="7" s="1"/>
  <c r="Q6" i="37"/>
  <c r="P57" i="37"/>
  <c r="Q17" i="37"/>
  <c r="P68" i="37"/>
  <c r="R21" i="37"/>
  <c r="Q72" i="37"/>
  <c r="Q8" i="37"/>
  <c r="P59" i="37"/>
  <c r="R62" i="37"/>
  <c r="S11" i="37"/>
  <c r="M82" i="34"/>
  <c r="M27" i="28"/>
  <c r="N81" i="34"/>
  <c r="N80" i="34"/>
  <c r="M81" i="28"/>
  <c r="M82" i="28"/>
  <c r="Q64" i="37"/>
  <c r="R13" i="37"/>
  <c r="N79" i="28"/>
  <c r="O23" i="28"/>
  <c r="M73" i="28"/>
  <c r="N17" i="28"/>
  <c r="N69" i="28"/>
  <c r="O13" i="28"/>
  <c r="O33" i="32"/>
  <c r="O35" i="32" s="1"/>
  <c r="O45" i="32" s="1"/>
  <c r="N78" i="32"/>
  <c r="N26" i="34" s="1"/>
  <c r="P13" i="34"/>
  <c r="O69" i="34"/>
  <c r="N80" i="28"/>
  <c r="M63" i="28"/>
  <c r="N7" i="28"/>
  <c r="S5" i="34"/>
  <c r="R61" i="34"/>
  <c r="Q5" i="28"/>
  <c r="P61" i="28"/>
  <c r="O33" i="7"/>
  <c r="N78" i="7"/>
  <c r="N26" i="28" s="1"/>
  <c r="R10" i="32"/>
  <c r="R43" i="32" s="1"/>
  <c r="Q63" i="32"/>
  <c r="Q16" i="32"/>
  <c r="O23" i="34"/>
  <c r="N79" i="34"/>
  <c r="O65" i="28"/>
  <c r="P9" i="28"/>
  <c r="O66" i="34"/>
  <c r="P10" i="34"/>
  <c r="Y32" i="35"/>
  <c r="X34" i="35"/>
  <c r="M73" i="34"/>
  <c r="N17" i="34"/>
  <c r="O32" i="7"/>
  <c r="N77" i="7"/>
  <c r="N25" i="28" s="1"/>
  <c r="O74" i="34"/>
  <c r="P18" i="34"/>
  <c r="P20" i="7"/>
  <c r="O69" i="7"/>
  <c r="N75" i="34"/>
  <c r="O19" i="34"/>
  <c r="O18" i="28"/>
  <c r="N74" i="28"/>
  <c r="P31" i="32"/>
  <c r="O76" i="32"/>
  <c r="O24" i="34" s="1"/>
  <c r="N73" i="37"/>
  <c r="O77" i="34"/>
  <c r="P21" i="34"/>
  <c r="P16" i="7"/>
  <c r="P63" i="7"/>
  <c r="Q10" i="7"/>
  <c r="Q43" i="7" s="1"/>
  <c r="P70" i="37"/>
  <c r="Q19" i="37"/>
  <c r="O71" i="28"/>
  <c r="P15" i="28"/>
  <c r="O58" i="37"/>
  <c r="P7" i="37"/>
  <c r="O22" i="37"/>
  <c r="P32" i="32"/>
  <c r="O77" i="32"/>
  <c r="O25" i="34" s="1"/>
  <c r="P31" i="7"/>
  <c r="O76" i="7"/>
  <c r="O24" i="28" s="1"/>
  <c r="Q9" i="37"/>
  <c r="P60" i="37"/>
  <c r="P62" i="34"/>
  <c r="Q6" i="34"/>
  <c r="P71" i="37"/>
  <c r="Q20" i="37"/>
  <c r="P68" i="34"/>
  <c r="Q12" i="34"/>
  <c r="O67" i="34"/>
  <c r="P11" i="34"/>
  <c r="L83" i="34"/>
  <c r="O71" i="34"/>
  <c r="P15" i="34"/>
  <c r="O11" i="28"/>
  <c r="N67" i="28"/>
  <c r="S58" i="32"/>
  <c r="S72" i="32"/>
  <c r="S59" i="32"/>
  <c r="S71" i="32"/>
  <c r="S75" i="32"/>
  <c r="T54" i="32"/>
  <c r="S68" i="32"/>
  <c r="S65" i="32"/>
  <c r="S64" i="32"/>
  <c r="S66" i="32"/>
  <c r="S67" i="32"/>
  <c r="S70" i="32"/>
  <c r="S74" i="32"/>
  <c r="S57" i="32"/>
  <c r="S62" i="32"/>
  <c r="S60" i="32"/>
  <c r="S61" i="32"/>
  <c r="S73" i="32"/>
  <c r="N76" i="28"/>
  <c r="O20" i="28"/>
  <c r="N72" i="28"/>
  <c r="O16" i="28"/>
  <c r="N8" i="28"/>
  <c r="M64" i="28"/>
  <c r="O72" i="34"/>
  <c r="P16" i="34"/>
  <c r="O66" i="37"/>
  <c r="P15" i="37"/>
  <c r="P67" i="37"/>
  <c r="Q16" i="37"/>
  <c r="N7" i="34"/>
  <c r="M63" i="34"/>
  <c r="M27" i="34"/>
  <c r="N19" i="28"/>
  <c r="M75" i="28"/>
  <c r="N77" i="28"/>
  <c r="O21" i="28"/>
  <c r="P65" i="37"/>
  <c r="Q14" i="37"/>
  <c r="R5" i="37"/>
  <c r="Q56" i="37"/>
  <c r="P22" i="34"/>
  <c r="O78" i="34"/>
  <c r="O6" i="28"/>
  <c r="N62" i="28"/>
  <c r="P12" i="28"/>
  <c r="O68" i="28"/>
  <c r="Z15" i="35"/>
  <c r="Z54" i="35"/>
  <c r="AA9" i="35"/>
  <c r="N8" i="34"/>
  <c r="M64" i="34"/>
  <c r="N35" i="32"/>
  <c r="N45" i="32" s="1"/>
  <c r="O20" i="34"/>
  <c r="N76" i="34"/>
  <c r="R18" i="37"/>
  <c r="Q69" i="37"/>
  <c r="S41" i="32"/>
  <c r="O78" i="28"/>
  <c r="P22" i="28"/>
  <c r="P10" i="28"/>
  <c r="O66" i="28"/>
  <c r="R41" i="7"/>
  <c r="R72" i="7"/>
  <c r="S54" i="7"/>
  <c r="R65" i="7"/>
  <c r="R61" i="7"/>
  <c r="R59" i="7"/>
  <c r="R71" i="7"/>
  <c r="R66" i="7"/>
  <c r="R67" i="7"/>
  <c r="R75" i="7"/>
  <c r="R57" i="7"/>
  <c r="R70" i="7"/>
  <c r="R68" i="7"/>
  <c r="R64" i="7"/>
  <c r="R62" i="7"/>
  <c r="R60" i="7"/>
  <c r="R58" i="7"/>
  <c r="R74" i="7"/>
  <c r="R73" i="7"/>
  <c r="N70" i="28"/>
  <c r="O14" i="28"/>
  <c r="P20" i="32"/>
  <c r="O69" i="32"/>
  <c r="Q43" i="32"/>
  <c r="R9" i="34"/>
  <c r="Q65" i="34"/>
  <c r="O70" i="34"/>
  <c r="P14" i="34"/>
  <c r="X36" i="35" l="1"/>
  <c r="T12" i="37"/>
  <c r="S63" i="37"/>
  <c r="Z19" i="35"/>
  <c r="Y25" i="35"/>
  <c r="Y60" i="35"/>
  <c r="Q61" i="37"/>
  <c r="R10" i="37"/>
  <c r="M83" i="28"/>
  <c r="M83" i="34"/>
  <c r="R6" i="37"/>
  <c r="Q57" i="37"/>
  <c r="T11" i="37"/>
  <c r="S62" i="37"/>
  <c r="R8" i="37"/>
  <c r="Q59" i="37"/>
  <c r="R72" i="37"/>
  <c r="S21" i="37"/>
  <c r="Q68" i="37"/>
  <c r="R17" i="37"/>
  <c r="O81" i="34"/>
  <c r="O80" i="28"/>
  <c r="N82" i="34"/>
  <c r="O80" i="34"/>
  <c r="N81" i="28"/>
  <c r="N27" i="28"/>
  <c r="S61" i="34"/>
  <c r="S60" i="7"/>
  <c r="S59" i="7"/>
  <c r="S58" i="7"/>
  <c r="S73" i="7"/>
  <c r="S66" i="7"/>
  <c r="S57" i="7"/>
  <c r="T54" i="7"/>
  <c r="S74" i="7"/>
  <c r="S68" i="7"/>
  <c r="S64" i="7"/>
  <c r="S62" i="7"/>
  <c r="S65" i="7"/>
  <c r="S75" i="7"/>
  <c r="S67" i="7"/>
  <c r="S70" i="7"/>
  <c r="S61" i="7"/>
  <c r="S72" i="7"/>
  <c r="S71" i="7"/>
  <c r="Q67" i="37"/>
  <c r="R16" i="37"/>
  <c r="P71" i="34"/>
  <c r="Q15" i="34"/>
  <c r="Q15" i="28"/>
  <c r="P71" i="28"/>
  <c r="Q31" i="32"/>
  <c r="P76" i="32"/>
  <c r="P24" i="34" s="1"/>
  <c r="O79" i="34"/>
  <c r="P23" i="34"/>
  <c r="P67" i="34"/>
  <c r="Q11" i="34"/>
  <c r="O75" i="34"/>
  <c r="P19" i="34"/>
  <c r="O17" i="34"/>
  <c r="N73" i="34"/>
  <c r="S10" i="32"/>
  <c r="S43" i="32" s="1"/>
  <c r="R63" i="32"/>
  <c r="R16" i="32"/>
  <c r="Q65" i="37"/>
  <c r="R14" i="37"/>
  <c r="P32" i="7"/>
  <c r="O77" i="7"/>
  <c r="O25" i="28" s="1"/>
  <c r="S18" i="37"/>
  <c r="R69" i="37"/>
  <c r="P21" i="28"/>
  <c r="O77" i="28"/>
  <c r="P72" i="34"/>
  <c r="Q16" i="34"/>
  <c r="T59" i="32"/>
  <c r="T65" i="32"/>
  <c r="T66" i="32"/>
  <c r="T60" i="32"/>
  <c r="T58" i="32"/>
  <c r="T62" i="32"/>
  <c r="T57" i="32"/>
  <c r="T5" i="34" s="1"/>
  <c r="T68" i="32"/>
  <c r="T61" i="32"/>
  <c r="T70" i="32"/>
  <c r="T72" i="32"/>
  <c r="T67" i="32"/>
  <c r="T64" i="32"/>
  <c r="T75" i="32"/>
  <c r="T71" i="32"/>
  <c r="U54" i="32"/>
  <c r="T74" i="32"/>
  <c r="T73" i="32"/>
  <c r="Q31" i="7"/>
  <c r="P76" i="7"/>
  <c r="P24" i="28" s="1"/>
  <c r="Q16" i="7"/>
  <c r="R10" i="7"/>
  <c r="R43" i="7" s="1"/>
  <c r="Q63" i="7"/>
  <c r="P33" i="32"/>
  <c r="P35" i="32" s="1"/>
  <c r="P45" i="32" s="1"/>
  <c r="O78" i="32"/>
  <c r="O26" i="34" s="1"/>
  <c r="S5" i="37"/>
  <c r="R56" i="37"/>
  <c r="N82" i="28"/>
  <c r="O74" i="28"/>
  <c r="P18" i="28"/>
  <c r="Q68" i="34"/>
  <c r="R12" i="34"/>
  <c r="P33" i="7"/>
  <c r="O78" i="7"/>
  <c r="O26" i="28" s="1"/>
  <c r="O69" i="28"/>
  <c r="P13" i="28"/>
  <c r="Q70" i="37"/>
  <c r="R19" i="37"/>
  <c r="O76" i="34"/>
  <c r="P20" i="34"/>
  <c r="Q32" i="32"/>
  <c r="P77" i="32"/>
  <c r="P25" i="34" s="1"/>
  <c r="O35" i="7"/>
  <c r="O45" i="7" s="1"/>
  <c r="Y34" i="35"/>
  <c r="Z32" i="35"/>
  <c r="Q15" i="37"/>
  <c r="P66" i="37"/>
  <c r="Q13" i="34"/>
  <c r="P69" i="34"/>
  <c r="S41" i="7"/>
  <c r="N75" i="28"/>
  <c r="O19" i="28"/>
  <c r="R20" i="37"/>
  <c r="Q71" i="37"/>
  <c r="Q21" i="34"/>
  <c r="P77" i="34"/>
  <c r="Q20" i="7"/>
  <c r="P69" i="7"/>
  <c r="Q10" i="34"/>
  <c r="P66" i="34"/>
  <c r="N63" i="28"/>
  <c r="O7" i="28"/>
  <c r="O17" i="28"/>
  <c r="N73" i="28"/>
  <c r="Q60" i="37"/>
  <c r="R9" i="37"/>
  <c r="Q10" i="28"/>
  <c r="P66" i="28"/>
  <c r="Q22" i="28"/>
  <c r="P78" i="28"/>
  <c r="O8" i="28"/>
  <c r="N64" i="28"/>
  <c r="P6" i="28"/>
  <c r="O62" i="28"/>
  <c r="O72" i="28"/>
  <c r="P16" i="28"/>
  <c r="Q7" i="37"/>
  <c r="P58" i="37"/>
  <c r="P22" i="37"/>
  <c r="Q20" i="32"/>
  <c r="P69" i="32"/>
  <c r="P68" i="28"/>
  <c r="Q12" i="28"/>
  <c r="P70" i="34"/>
  <c r="Q14" i="34"/>
  <c r="R65" i="34"/>
  <c r="S9" i="34"/>
  <c r="O73" i="37"/>
  <c r="P65" i="28"/>
  <c r="Q9" i="28"/>
  <c r="Q61" i="28"/>
  <c r="R5" i="28"/>
  <c r="P23" i="28"/>
  <c r="O79" i="28"/>
  <c r="AB9" i="35"/>
  <c r="AA15" i="35"/>
  <c r="AA54" i="35"/>
  <c r="P14" i="28"/>
  <c r="O70" i="28"/>
  <c r="T41" i="32"/>
  <c r="P78" i="34"/>
  <c r="Q22" i="34"/>
  <c r="N63" i="34"/>
  <c r="O7" i="34"/>
  <c r="N27" i="34"/>
  <c r="O76" i="28"/>
  <c r="P20" i="28"/>
  <c r="Q62" i="34"/>
  <c r="R6" i="34"/>
  <c r="N64" i="34"/>
  <c r="O8" i="34"/>
  <c r="P11" i="28"/>
  <c r="O67" i="28"/>
  <c r="Q18" i="34"/>
  <c r="P74" i="34"/>
  <c r="R64" i="37"/>
  <c r="S13" i="37"/>
  <c r="U12" i="37" l="1"/>
  <c r="T63" i="37"/>
  <c r="Z60" i="35"/>
  <c r="AA19" i="35"/>
  <c r="Z25" i="35"/>
  <c r="Y36" i="35"/>
  <c r="P35" i="7"/>
  <c r="P45" i="7" s="1"/>
  <c r="R61" i="37"/>
  <c r="S10" i="37"/>
  <c r="N83" i="34"/>
  <c r="N83" i="28"/>
  <c r="O27" i="28"/>
  <c r="P73" i="37"/>
  <c r="S72" i="37"/>
  <c r="T21" i="37"/>
  <c r="R59" i="37"/>
  <c r="S8" i="37"/>
  <c r="R68" i="37"/>
  <c r="S17" i="37"/>
  <c r="U11" i="37"/>
  <c r="T62" i="37"/>
  <c r="R57" i="37"/>
  <c r="S6" i="37"/>
  <c r="T61" i="34"/>
  <c r="O81" i="28"/>
  <c r="P80" i="28"/>
  <c r="P80" i="34"/>
  <c r="P81" i="34"/>
  <c r="O82" i="34"/>
  <c r="S6" i="34"/>
  <c r="R62" i="34"/>
  <c r="P70" i="28"/>
  <c r="Q14" i="28"/>
  <c r="R20" i="32"/>
  <c r="Q69" i="32"/>
  <c r="Q66" i="34"/>
  <c r="R10" i="34"/>
  <c r="R32" i="32"/>
  <c r="Q77" i="32"/>
  <c r="Q25" i="34" s="1"/>
  <c r="R31" i="7"/>
  <c r="Q76" i="7"/>
  <c r="Q24" i="28" s="1"/>
  <c r="Q23" i="34"/>
  <c r="P79" i="34"/>
  <c r="O82" i="28"/>
  <c r="P77" i="28"/>
  <c r="Q21" i="28"/>
  <c r="S63" i="32"/>
  <c r="T10" i="32"/>
  <c r="T43" i="32" s="1"/>
  <c r="S16" i="32"/>
  <c r="T59" i="7"/>
  <c r="T75" i="7"/>
  <c r="T60" i="7"/>
  <c r="T58" i="7"/>
  <c r="T65" i="7"/>
  <c r="T67" i="7"/>
  <c r="T57" i="7"/>
  <c r="T62" i="7"/>
  <c r="U54" i="7"/>
  <c r="T68" i="7"/>
  <c r="T74" i="7"/>
  <c r="T70" i="7"/>
  <c r="T66" i="7"/>
  <c r="T73" i="7"/>
  <c r="T72" i="7"/>
  <c r="T71" i="7"/>
  <c r="T64" i="7"/>
  <c r="T61" i="7"/>
  <c r="AC9" i="35"/>
  <c r="AB15" i="35"/>
  <c r="AB54" i="35"/>
  <c r="R20" i="7"/>
  <c r="Q69" i="7"/>
  <c r="R15" i="37"/>
  <c r="Q66" i="37"/>
  <c r="R70" i="37"/>
  <c r="S19" i="37"/>
  <c r="R31" i="32"/>
  <c r="Q76" i="32"/>
  <c r="Q24" i="34" s="1"/>
  <c r="R7" i="37"/>
  <c r="Q58" i="37"/>
  <c r="Q22" i="37"/>
  <c r="Q66" i="28"/>
  <c r="R10" i="28"/>
  <c r="S56" i="37"/>
  <c r="T5" i="37"/>
  <c r="T18" i="37"/>
  <c r="S69" i="37"/>
  <c r="O73" i="34"/>
  <c r="P17" i="34"/>
  <c r="P76" i="28"/>
  <c r="Q20" i="28"/>
  <c r="Q16" i="28"/>
  <c r="P72" i="28"/>
  <c r="R60" i="37"/>
  <c r="S9" i="37"/>
  <c r="Q77" i="34"/>
  <c r="R21" i="34"/>
  <c r="P69" i="28"/>
  <c r="Q13" i="28"/>
  <c r="U57" i="32"/>
  <c r="U5" i="34" s="1"/>
  <c r="U71" i="32"/>
  <c r="U61" i="32"/>
  <c r="U68" i="32"/>
  <c r="U67" i="32"/>
  <c r="U74" i="32"/>
  <c r="U75" i="32"/>
  <c r="U73" i="32"/>
  <c r="U70" i="32"/>
  <c r="U66" i="32"/>
  <c r="U58" i="32"/>
  <c r="U60" i="32"/>
  <c r="U62" i="32"/>
  <c r="V54" i="32"/>
  <c r="U64" i="32"/>
  <c r="U72" i="32"/>
  <c r="U59" i="32"/>
  <c r="U65" i="32"/>
  <c r="Q19" i="34"/>
  <c r="P75" i="34"/>
  <c r="R15" i="28"/>
  <c r="Q71" i="28"/>
  <c r="Q78" i="28"/>
  <c r="R22" i="28"/>
  <c r="Q32" i="7"/>
  <c r="P77" i="7"/>
  <c r="P25" i="28" s="1"/>
  <c r="Q71" i="34"/>
  <c r="R15" i="34"/>
  <c r="P76" i="34"/>
  <c r="Q20" i="34"/>
  <c r="S65" i="34"/>
  <c r="T9" i="34"/>
  <c r="R61" i="28"/>
  <c r="S5" i="28"/>
  <c r="R22" i="34"/>
  <c r="Q78" i="34"/>
  <c r="R71" i="37"/>
  <c r="S20" i="37"/>
  <c r="AA32" i="35"/>
  <c r="Z34" i="35"/>
  <c r="Z36" i="35" s="1"/>
  <c r="Q33" i="32"/>
  <c r="Q35" i="32" s="1"/>
  <c r="Q45" i="32" s="1"/>
  <c r="P78" i="32"/>
  <c r="P26" i="34" s="1"/>
  <c r="R65" i="37"/>
  <c r="S14" i="37"/>
  <c r="Q67" i="34"/>
  <c r="R11" i="34"/>
  <c r="Q69" i="34"/>
  <c r="R13" i="34"/>
  <c r="P79" i="28"/>
  <c r="Q23" i="28"/>
  <c r="R14" i="34"/>
  <c r="Q70" i="34"/>
  <c r="T13" i="37"/>
  <c r="S64" i="37"/>
  <c r="P8" i="34"/>
  <c r="O64" i="34"/>
  <c r="Q68" i="28"/>
  <c r="R12" i="28"/>
  <c r="O73" i="28"/>
  <c r="P17" i="28"/>
  <c r="O75" i="28"/>
  <c r="P19" i="28"/>
  <c r="Q33" i="7"/>
  <c r="P78" i="7"/>
  <c r="P26" i="28" s="1"/>
  <c r="R67" i="37"/>
  <c r="S16" i="37"/>
  <c r="Q74" i="34"/>
  <c r="R18" i="34"/>
  <c r="P7" i="34"/>
  <c r="O63" i="34"/>
  <c r="O27" i="34"/>
  <c r="P67" i="28"/>
  <c r="Q11" i="28"/>
  <c r="R9" i="28"/>
  <c r="Q65" i="28"/>
  <c r="Q6" i="28"/>
  <c r="P62" i="28"/>
  <c r="P7" i="28"/>
  <c r="O63" i="28"/>
  <c r="R68" i="34"/>
  <c r="S12" i="34"/>
  <c r="R16" i="7"/>
  <c r="R63" i="7"/>
  <c r="S10" i="7"/>
  <c r="S43" i="7" s="1"/>
  <c r="U41" i="32"/>
  <c r="T41" i="7"/>
  <c r="O64" i="28"/>
  <c r="P8" i="28"/>
  <c r="P74" i="28"/>
  <c r="Q18" i="28"/>
  <c r="Q72" i="34"/>
  <c r="R16" i="34"/>
  <c r="AB19" i="35" l="1"/>
  <c r="AA60" i="35"/>
  <c r="AA25" i="35"/>
  <c r="U63" i="37"/>
  <c r="V12" i="37"/>
  <c r="T10" i="37"/>
  <c r="S61" i="37"/>
  <c r="O83" i="28"/>
  <c r="U62" i="37"/>
  <c r="V11" i="37"/>
  <c r="T17" i="37"/>
  <c r="S68" i="37"/>
  <c r="S57" i="37"/>
  <c r="T6" i="37"/>
  <c r="T8" i="37"/>
  <c r="S59" i="37"/>
  <c r="T72" i="37"/>
  <c r="U21" i="37"/>
  <c r="Q80" i="34"/>
  <c r="P81" i="28"/>
  <c r="U61" i="34"/>
  <c r="P82" i="28"/>
  <c r="P82" i="34"/>
  <c r="Q19" i="28"/>
  <c r="P75" i="28"/>
  <c r="R13" i="28"/>
  <c r="Q69" i="28"/>
  <c r="P73" i="34"/>
  <c r="Q17" i="34"/>
  <c r="AC54" i="35"/>
  <c r="AD9" i="35"/>
  <c r="AC15" i="35"/>
  <c r="T63" i="32"/>
  <c r="T16" i="32"/>
  <c r="U10" i="32"/>
  <c r="U43" i="32" s="1"/>
  <c r="S32" i="32"/>
  <c r="R77" i="32"/>
  <c r="R25" i="34" s="1"/>
  <c r="S14" i="34"/>
  <c r="R70" i="34"/>
  <c r="Q17" i="28"/>
  <c r="P73" i="28"/>
  <c r="P63" i="34"/>
  <c r="Q7" i="34"/>
  <c r="P27" i="34"/>
  <c r="AB32" i="35"/>
  <c r="AA34" i="35"/>
  <c r="AA36" i="35" s="1"/>
  <c r="T69" i="37"/>
  <c r="U18" i="37"/>
  <c r="S70" i="37"/>
  <c r="T19" i="37"/>
  <c r="R20" i="34"/>
  <c r="Q76" i="34"/>
  <c r="R71" i="34"/>
  <c r="S15" i="34"/>
  <c r="S21" i="34"/>
  <c r="R77" i="34"/>
  <c r="T56" i="37"/>
  <c r="U5" i="37"/>
  <c r="S20" i="32"/>
  <c r="R69" i="32"/>
  <c r="Q7" i="28"/>
  <c r="P63" i="28"/>
  <c r="Q80" i="28"/>
  <c r="R72" i="34"/>
  <c r="S16" i="34"/>
  <c r="Q77" i="28"/>
  <c r="R21" i="28"/>
  <c r="R74" i="34"/>
  <c r="S18" i="34"/>
  <c r="S60" i="37"/>
  <c r="T9" i="37"/>
  <c r="S15" i="37"/>
  <c r="R66" i="37"/>
  <c r="Q70" i="28"/>
  <c r="R14" i="28"/>
  <c r="S68" i="34"/>
  <c r="T12" i="34"/>
  <c r="U41" i="7"/>
  <c r="R78" i="34"/>
  <c r="S22" i="34"/>
  <c r="R32" i="7"/>
  <c r="Q77" i="7"/>
  <c r="Q25" i="28" s="1"/>
  <c r="R66" i="28"/>
  <c r="S10" i="28"/>
  <c r="Q79" i="34"/>
  <c r="R23" i="34"/>
  <c r="O83" i="34"/>
  <c r="V41" i="32"/>
  <c r="R6" i="28"/>
  <c r="Q62" i="28"/>
  <c r="S67" i="37"/>
  <c r="T16" i="37"/>
  <c r="R67" i="34"/>
  <c r="S11" i="34"/>
  <c r="T5" i="28"/>
  <c r="S61" i="28"/>
  <c r="S22" i="28"/>
  <c r="R78" i="28"/>
  <c r="Q35" i="7"/>
  <c r="Q45" i="7" s="1"/>
  <c r="R19" i="34"/>
  <c r="Q75" i="34"/>
  <c r="S31" i="32"/>
  <c r="R76" i="32"/>
  <c r="R24" i="34" s="1"/>
  <c r="Q81" i="34"/>
  <c r="Q74" i="28"/>
  <c r="R18" i="28"/>
  <c r="P27" i="28"/>
  <c r="P64" i="34"/>
  <c r="Q8" i="34"/>
  <c r="Q72" i="28"/>
  <c r="R16" i="28"/>
  <c r="S20" i="7"/>
  <c r="R69" i="7"/>
  <c r="S9" i="28"/>
  <c r="R65" i="28"/>
  <c r="T14" i="37"/>
  <c r="S65" i="37"/>
  <c r="V72" i="32"/>
  <c r="V75" i="32"/>
  <c r="V60" i="32"/>
  <c r="V58" i="32"/>
  <c r="V67" i="32"/>
  <c r="V73" i="32"/>
  <c r="V74" i="32"/>
  <c r="V65" i="32"/>
  <c r="V57" i="32"/>
  <c r="V5" i="34" s="1"/>
  <c r="V64" i="32"/>
  <c r="V62" i="32"/>
  <c r="V66" i="32"/>
  <c r="W54" i="32"/>
  <c r="V70" i="32"/>
  <c r="V59" i="32"/>
  <c r="V68" i="32"/>
  <c r="V61" i="32"/>
  <c r="V71" i="32"/>
  <c r="R20" i="28"/>
  <c r="Q76" i="28"/>
  <c r="Q73" i="37"/>
  <c r="S31" i="7"/>
  <c r="R76" i="7"/>
  <c r="R24" i="28" s="1"/>
  <c r="T6" i="34"/>
  <c r="S62" i="34"/>
  <c r="R33" i="32"/>
  <c r="R35" i="32" s="1"/>
  <c r="R45" i="32" s="1"/>
  <c r="Q78" i="32"/>
  <c r="Q26" i="34" s="1"/>
  <c r="R66" i="34"/>
  <c r="S10" i="34"/>
  <c r="Q79" i="28"/>
  <c r="R23" i="28"/>
  <c r="U73" i="7"/>
  <c r="U67" i="7"/>
  <c r="U66" i="7"/>
  <c r="U59" i="7"/>
  <c r="U62" i="7"/>
  <c r="U72" i="7"/>
  <c r="U64" i="7"/>
  <c r="U58" i="7"/>
  <c r="U68" i="7"/>
  <c r="U57" i="7"/>
  <c r="V54" i="7"/>
  <c r="U60" i="7"/>
  <c r="U65" i="7"/>
  <c r="U74" i="7"/>
  <c r="U70" i="7"/>
  <c r="U71" i="7"/>
  <c r="U61" i="7"/>
  <c r="U75" i="7"/>
  <c r="S71" i="37"/>
  <c r="T20" i="37"/>
  <c r="R68" i="28"/>
  <c r="S12" i="28"/>
  <c r="Q8" i="28"/>
  <c r="P64" i="28"/>
  <c r="R69" i="34"/>
  <c r="S13" i="34"/>
  <c r="T10" i="7"/>
  <c r="S16" i="7"/>
  <c r="S63" i="7"/>
  <c r="R11" i="28"/>
  <c r="Q67" i="28"/>
  <c r="R33" i="7"/>
  <c r="Q78" i="7"/>
  <c r="Q26" i="28" s="1"/>
  <c r="T64" i="37"/>
  <c r="U13" i="37"/>
  <c r="U9" i="34"/>
  <c r="T65" i="34"/>
  <c r="R71" i="28"/>
  <c r="S15" i="28"/>
  <c r="R58" i="37"/>
  <c r="S7" i="37"/>
  <c r="R22" i="37"/>
  <c r="R73" i="37" l="1"/>
  <c r="W12" i="37"/>
  <c r="V63" i="37"/>
  <c r="AB60" i="35"/>
  <c r="AB25" i="35"/>
  <c r="AC19" i="35"/>
  <c r="T61" i="37"/>
  <c r="U10" i="37"/>
  <c r="P83" i="28"/>
  <c r="U72" i="37"/>
  <c r="V21" i="37"/>
  <c r="U8" i="37"/>
  <c r="T59" i="37"/>
  <c r="T57" i="37"/>
  <c r="U6" i="37"/>
  <c r="T68" i="37"/>
  <c r="U17" i="37"/>
  <c r="V62" i="37"/>
  <c r="W11" i="37"/>
  <c r="Q81" i="28"/>
  <c r="Q82" i="28"/>
  <c r="R80" i="34"/>
  <c r="V61" i="34"/>
  <c r="Q27" i="28"/>
  <c r="R76" i="28"/>
  <c r="S20" i="28"/>
  <c r="T9" i="28"/>
  <c r="S65" i="28"/>
  <c r="T15" i="37"/>
  <c r="S66" i="37"/>
  <c r="S71" i="34"/>
  <c r="T15" i="34"/>
  <c r="P83" i="34"/>
  <c r="S16" i="28"/>
  <c r="R72" i="28"/>
  <c r="U10" i="7"/>
  <c r="T16" i="7"/>
  <c r="T63" i="7"/>
  <c r="R8" i="34"/>
  <c r="Q64" i="34"/>
  <c r="R75" i="34"/>
  <c r="S19" i="34"/>
  <c r="S32" i="7"/>
  <c r="R77" i="7"/>
  <c r="R25" i="28" s="1"/>
  <c r="T60" i="37"/>
  <c r="U9" i="37"/>
  <c r="AE9" i="35"/>
  <c r="AD15" i="35"/>
  <c r="AD54" i="35"/>
  <c r="T31" i="32"/>
  <c r="S76" i="32"/>
  <c r="S24" i="34" s="1"/>
  <c r="S6" i="28"/>
  <c r="R62" i="28"/>
  <c r="S78" i="34"/>
  <c r="T22" i="34"/>
  <c r="U14" i="37"/>
  <c r="T65" i="37"/>
  <c r="U64" i="37"/>
  <c r="V13" i="37"/>
  <c r="S69" i="34"/>
  <c r="T13" i="34"/>
  <c r="T18" i="34"/>
  <c r="S74" i="34"/>
  <c r="Q63" i="28"/>
  <c r="R7" i="28"/>
  <c r="R76" i="34"/>
  <c r="S20" i="34"/>
  <c r="Q73" i="34"/>
  <c r="R17" i="34"/>
  <c r="R80" i="28"/>
  <c r="T22" i="28"/>
  <c r="S78" i="28"/>
  <c r="W41" i="32"/>
  <c r="T70" i="37"/>
  <c r="U19" i="37"/>
  <c r="R17" i="28"/>
  <c r="Q73" i="28"/>
  <c r="T10" i="34"/>
  <c r="S66" i="34"/>
  <c r="U6" i="34"/>
  <c r="T62" i="34"/>
  <c r="T43" i="7"/>
  <c r="T67" i="37"/>
  <c r="U16" i="37"/>
  <c r="T21" i="34"/>
  <c r="S77" i="34"/>
  <c r="R8" i="28"/>
  <c r="Q64" i="28"/>
  <c r="R74" i="28"/>
  <c r="S18" i="28"/>
  <c r="V41" i="7"/>
  <c r="T20" i="32"/>
  <c r="S69" i="32"/>
  <c r="U69" i="37"/>
  <c r="V18" i="37"/>
  <c r="S70" i="34"/>
  <c r="T14" i="34"/>
  <c r="S13" i="28"/>
  <c r="R69" i="28"/>
  <c r="Q63" i="34"/>
  <c r="R7" i="34"/>
  <c r="Q27" i="34"/>
  <c r="S33" i="7"/>
  <c r="R78" i="7"/>
  <c r="R26" i="28" s="1"/>
  <c r="T12" i="28"/>
  <c r="S68" i="28"/>
  <c r="T31" i="7"/>
  <c r="S76" i="7"/>
  <c r="S24" i="28" s="1"/>
  <c r="U5" i="28"/>
  <c r="T61" i="28"/>
  <c r="T68" i="34"/>
  <c r="U12" i="34"/>
  <c r="R77" i="28"/>
  <c r="S21" i="28"/>
  <c r="U56" i="37"/>
  <c r="V5" i="37"/>
  <c r="R67" i="28"/>
  <c r="S11" i="28"/>
  <c r="W72" i="32"/>
  <c r="W75" i="32"/>
  <c r="W74" i="32"/>
  <c r="X54" i="32"/>
  <c r="W65" i="32"/>
  <c r="W58" i="32"/>
  <c r="W68" i="32"/>
  <c r="W70" i="32"/>
  <c r="W57" i="32"/>
  <c r="W5" i="34" s="1"/>
  <c r="W61" i="32"/>
  <c r="W62" i="32"/>
  <c r="W64" i="32"/>
  <c r="W67" i="32"/>
  <c r="W60" i="32"/>
  <c r="W71" i="32"/>
  <c r="W59" i="32"/>
  <c r="W66" i="32"/>
  <c r="W73" i="32"/>
  <c r="T20" i="7"/>
  <c r="S69" i="7"/>
  <c r="R81" i="34"/>
  <c r="S67" i="34"/>
  <c r="T11" i="34"/>
  <c r="R79" i="34"/>
  <c r="S23" i="34"/>
  <c r="T32" i="32"/>
  <c r="S77" i="32"/>
  <c r="S25" i="34" s="1"/>
  <c r="R19" i="28"/>
  <c r="Q75" i="28"/>
  <c r="T10" i="28"/>
  <c r="S66" i="28"/>
  <c r="T15" i="28"/>
  <c r="S71" i="28"/>
  <c r="Q82" i="34"/>
  <c r="V9" i="34"/>
  <c r="U65" i="34"/>
  <c r="S33" i="32"/>
  <c r="S35" i="32" s="1"/>
  <c r="S45" i="32" s="1"/>
  <c r="R78" i="32"/>
  <c r="R26" i="34" s="1"/>
  <c r="S58" i="37"/>
  <c r="T7" i="37"/>
  <c r="S22" i="37"/>
  <c r="U20" i="37"/>
  <c r="T71" i="37"/>
  <c r="V67" i="7"/>
  <c r="V60" i="7"/>
  <c r="V62" i="7"/>
  <c r="V72" i="7"/>
  <c r="V75" i="7"/>
  <c r="V64" i="7"/>
  <c r="W54" i="7"/>
  <c r="V74" i="7"/>
  <c r="V71" i="7"/>
  <c r="V68" i="7"/>
  <c r="V61" i="7"/>
  <c r="V57" i="7"/>
  <c r="V58" i="7"/>
  <c r="V65" i="7"/>
  <c r="V73" i="7"/>
  <c r="V66" i="7"/>
  <c r="V59" i="7"/>
  <c r="V70" i="7"/>
  <c r="R79" i="28"/>
  <c r="S23" i="28"/>
  <c r="R35" i="7"/>
  <c r="R45" i="7" s="1"/>
  <c r="S14" i="28"/>
  <c r="R70" i="28"/>
  <c r="T16" i="34"/>
  <c r="S72" i="34"/>
  <c r="AB34" i="35"/>
  <c r="AB36" i="35" s="1"/>
  <c r="AC32" i="35"/>
  <c r="U63" i="32"/>
  <c r="U16" i="32"/>
  <c r="V10" i="32"/>
  <c r="V43" i="32" s="1"/>
  <c r="AD19" i="35" l="1"/>
  <c r="AC25" i="35"/>
  <c r="AC60" i="35"/>
  <c r="W63" i="37"/>
  <c r="X12" i="37"/>
  <c r="V10" i="37"/>
  <c r="U61" i="37"/>
  <c r="S35" i="7"/>
  <c r="S45" i="7" s="1"/>
  <c r="Q83" i="28"/>
  <c r="S73" i="37"/>
  <c r="X11" i="37"/>
  <c r="W62" i="37"/>
  <c r="U68" i="37"/>
  <c r="V17" i="37"/>
  <c r="V6" i="37"/>
  <c r="U57" i="37"/>
  <c r="U59" i="37"/>
  <c r="V8" i="37"/>
  <c r="W21" i="37"/>
  <c r="V72" i="37"/>
  <c r="R82" i="34"/>
  <c r="S81" i="34"/>
  <c r="W61" i="34"/>
  <c r="S80" i="34"/>
  <c r="S80" i="28"/>
  <c r="R81" i="28"/>
  <c r="R27" i="28"/>
  <c r="R82" i="28"/>
  <c r="S19" i="28"/>
  <c r="R75" i="28"/>
  <c r="U20" i="7"/>
  <c r="T69" i="7"/>
  <c r="U31" i="7"/>
  <c r="T76" i="7"/>
  <c r="T24" i="28" s="1"/>
  <c r="W18" i="37"/>
  <c r="V69" i="37"/>
  <c r="S74" i="28"/>
  <c r="T18" i="28"/>
  <c r="V6" i="34"/>
  <c r="U62" i="34"/>
  <c r="T32" i="7"/>
  <c r="S77" i="7"/>
  <c r="S25" i="28" s="1"/>
  <c r="S72" i="28"/>
  <c r="T16" i="28"/>
  <c r="T20" i="28"/>
  <c r="S76" i="28"/>
  <c r="S67" i="28"/>
  <c r="T11" i="28"/>
  <c r="U22" i="28"/>
  <c r="T78" i="28"/>
  <c r="W5" i="37"/>
  <c r="V56" i="37"/>
  <c r="T68" i="28"/>
  <c r="U12" i="28"/>
  <c r="T66" i="34"/>
  <c r="U10" i="34"/>
  <c r="U18" i="34"/>
  <c r="T74" i="34"/>
  <c r="T19" i="34"/>
  <c r="S75" i="34"/>
  <c r="AD32" i="35"/>
  <c r="AC34" i="35"/>
  <c r="AC36" i="35" s="1"/>
  <c r="V65" i="34"/>
  <c r="W9" i="34"/>
  <c r="U20" i="32"/>
  <c r="T69" i="32"/>
  <c r="S8" i="28"/>
  <c r="R64" i="28"/>
  <c r="T69" i="34"/>
  <c r="U13" i="34"/>
  <c r="T6" i="28"/>
  <c r="S62" i="28"/>
  <c r="T71" i="34"/>
  <c r="U15" i="34"/>
  <c r="T33" i="7"/>
  <c r="S78" i="7"/>
  <c r="S26" i="28" s="1"/>
  <c r="U14" i="34"/>
  <c r="T70" i="34"/>
  <c r="U63" i="7"/>
  <c r="U16" i="7"/>
  <c r="V10" i="7"/>
  <c r="V43" i="7" s="1"/>
  <c r="T33" i="32"/>
  <c r="S78" i="32"/>
  <c r="S26" i="34" s="1"/>
  <c r="U16" i="34"/>
  <c r="T72" i="34"/>
  <c r="U32" i="32"/>
  <c r="T77" i="32"/>
  <c r="T25" i="34" s="1"/>
  <c r="T77" i="34"/>
  <c r="U21" i="34"/>
  <c r="S17" i="28"/>
  <c r="R73" i="28"/>
  <c r="W13" i="37"/>
  <c r="V64" i="37"/>
  <c r="U31" i="32"/>
  <c r="T76" i="32"/>
  <c r="T24" i="34" s="1"/>
  <c r="R64" i="34"/>
  <c r="S8" i="34"/>
  <c r="R63" i="28"/>
  <c r="S7" i="28"/>
  <c r="T23" i="28"/>
  <c r="S79" i="28"/>
  <c r="V20" i="37"/>
  <c r="U71" i="37"/>
  <c r="U11" i="34"/>
  <c r="T67" i="34"/>
  <c r="V12" i="34"/>
  <c r="U68" i="34"/>
  <c r="R63" i="34"/>
  <c r="S7" i="34"/>
  <c r="R27" i="34"/>
  <c r="U67" i="37"/>
  <c r="V16" i="37"/>
  <c r="V19" i="37"/>
  <c r="U70" i="37"/>
  <c r="U15" i="37"/>
  <c r="T66" i="37"/>
  <c r="T14" i="28"/>
  <c r="S70" i="28"/>
  <c r="T23" i="34"/>
  <c r="S79" i="34"/>
  <c r="X59" i="32"/>
  <c r="X65" i="32"/>
  <c r="X60" i="32"/>
  <c r="X64" i="32"/>
  <c r="X57" i="32"/>
  <c r="X5" i="34" s="1"/>
  <c r="X62" i="32"/>
  <c r="X72" i="32"/>
  <c r="X74" i="32"/>
  <c r="X58" i="32"/>
  <c r="X75" i="32"/>
  <c r="X66" i="32"/>
  <c r="X67" i="32"/>
  <c r="X71" i="32"/>
  <c r="X68" i="32"/>
  <c r="X70" i="32"/>
  <c r="X73" i="32"/>
  <c r="X61" i="32"/>
  <c r="Y54" i="32"/>
  <c r="Q83" i="34"/>
  <c r="W41" i="7"/>
  <c r="S17" i="34"/>
  <c r="R73" i="34"/>
  <c r="T66" i="28"/>
  <c r="U10" i="28"/>
  <c r="T78" i="34"/>
  <c r="U22" i="34"/>
  <c r="T58" i="37"/>
  <c r="U7" i="37"/>
  <c r="T22" i="37"/>
  <c r="U15" i="28"/>
  <c r="T71" i="28"/>
  <c r="U43" i="7"/>
  <c r="V14" i="37"/>
  <c r="U65" i="37"/>
  <c r="AF9" i="35"/>
  <c r="AE54" i="35"/>
  <c r="AE15" i="35"/>
  <c r="U9" i="28"/>
  <c r="T65" i="28"/>
  <c r="T21" i="28"/>
  <c r="S77" i="28"/>
  <c r="V63" i="32"/>
  <c r="V16" i="32"/>
  <c r="W10" i="32"/>
  <c r="W64" i="7"/>
  <c r="W72" i="7"/>
  <c r="W61" i="7"/>
  <c r="W58" i="7"/>
  <c r="W73" i="7"/>
  <c r="W66" i="7"/>
  <c r="W74" i="7"/>
  <c r="W57" i="7"/>
  <c r="W68" i="7"/>
  <c r="W70" i="7"/>
  <c r="W62" i="7"/>
  <c r="W65" i="7"/>
  <c r="W67" i="7"/>
  <c r="W60" i="7"/>
  <c r="W71" i="7"/>
  <c r="W75" i="7"/>
  <c r="X54" i="7"/>
  <c r="W59" i="7"/>
  <c r="V5" i="28"/>
  <c r="U61" i="28"/>
  <c r="S69" i="28"/>
  <c r="T13" i="28"/>
  <c r="X41" i="32"/>
  <c r="W43" i="32"/>
  <c r="T20" i="34"/>
  <c r="S76" i="34"/>
  <c r="V9" i="37"/>
  <c r="U60" i="37"/>
  <c r="Y12" i="37" l="1"/>
  <c r="X63" i="37"/>
  <c r="AE19" i="35"/>
  <c r="AD60" i="35"/>
  <c r="AD25" i="35"/>
  <c r="T73" i="37"/>
  <c r="V61" i="37"/>
  <c r="W10" i="37"/>
  <c r="R83" i="28"/>
  <c r="X21" i="37"/>
  <c r="W72" i="37"/>
  <c r="V59" i="37"/>
  <c r="W8" i="37"/>
  <c r="V57" i="37"/>
  <c r="W6" i="37"/>
  <c r="W17" i="37"/>
  <c r="V68" i="37"/>
  <c r="X62" i="37"/>
  <c r="Y11" i="37"/>
  <c r="S81" i="28"/>
  <c r="S27" i="28"/>
  <c r="T80" i="34"/>
  <c r="X61" i="34"/>
  <c r="T81" i="34"/>
  <c r="S82" i="28"/>
  <c r="S82" i="34"/>
  <c r="T80" i="28"/>
  <c r="X18" i="37"/>
  <c r="W69" i="37"/>
  <c r="U21" i="28"/>
  <c r="T77" i="28"/>
  <c r="W19" i="37"/>
  <c r="V70" i="37"/>
  <c r="U33" i="32"/>
  <c r="T78" i="32"/>
  <c r="T26" i="34" s="1"/>
  <c r="V31" i="7"/>
  <c r="U76" i="7"/>
  <c r="U24" i="28" s="1"/>
  <c r="V31" i="32"/>
  <c r="U76" i="32"/>
  <c r="U24" i="34" s="1"/>
  <c r="V67" i="37"/>
  <c r="W16" i="37"/>
  <c r="W20" i="37"/>
  <c r="V71" i="37"/>
  <c r="W64" i="37"/>
  <c r="X13" i="37"/>
  <c r="V63" i="7"/>
  <c r="W10" i="7"/>
  <c r="W43" i="7" s="1"/>
  <c r="V16" i="7"/>
  <c r="T62" i="28"/>
  <c r="U6" i="28"/>
  <c r="AD34" i="35"/>
  <c r="AD36" i="35" s="1"/>
  <c r="AE32" i="35"/>
  <c r="U32" i="7"/>
  <c r="T77" i="7"/>
  <c r="T25" i="28" s="1"/>
  <c r="X9" i="34"/>
  <c r="W65" i="34"/>
  <c r="V13" i="34"/>
  <c r="U69" i="34"/>
  <c r="X5" i="37"/>
  <c r="W56" i="37"/>
  <c r="T35" i="7"/>
  <c r="T45" i="7" s="1"/>
  <c r="U66" i="37"/>
  <c r="V15" i="37"/>
  <c r="B41" i="35"/>
  <c r="S73" i="34"/>
  <c r="T17" i="34"/>
  <c r="U23" i="28"/>
  <c r="T79" i="28"/>
  <c r="S73" i="28"/>
  <c r="T17" i="28"/>
  <c r="U19" i="34"/>
  <c r="T75" i="34"/>
  <c r="V20" i="7"/>
  <c r="U69" i="7"/>
  <c r="U67" i="34"/>
  <c r="V11" i="34"/>
  <c r="U77" i="34"/>
  <c r="V21" i="34"/>
  <c r="U13" i="28"/>
  <c r="T69" i="28"/>
  <c r="AG9" i="35"/>
  <c r="AF15" i="35"/>
  <c r="AF54" i="35"/>
  <c r="X41" i="7"/>
  <c r="U70" i="34"/>
  <c r="V14" i="34"/>
  <c r="S64" i="28"/>
  <c r="T8" i="28"/>
  <c r="U78" i="28"/>
  <c r="V22" i="28"/>
  <c r="S75" i="28"/>
  <c r="T19" i="28"/>
  <c r="T72" i="28"/>
  <c r="U16" i="28"/>
  <c r="T79" i="34"/>
  <c r="U23" i="34"/>
  <c r="T7" i="34"/>
  <c r="S63" i="34"/>
  <c r="S27" i="34"/>
  <c r="S63" i="28"/>
  <c r="T7" i="28"/>
  <c r="V18" i="34"/>
  <c r="U74" i="34"/>
  <c r="T67" i="28"/>
  <c r="U11" i="28"/>
  <c r="W6" i="34"/>
  <c r="V62" i="34"/>
  <c r="X73" i="7"/>
  <c r="X62" i="7"/>
  <c r="X66" i="7"/>
  <c r="X75" i="7"/>
  <c r="X71" i="7"/>
  <c r="X58" i="7"/>
  <c r="X67" i="7"/>
  <c r="X72" i="7"/>
  <c r="X68" i="7"/>
  <c r="X65" i="7"/>
  <c r="X60" i="7"/>
  <c r="X70" i="7"/>
  <c r="X57" i="7"/>
  <c r="X59" i="7"/>
  <c r="X61" i="7"/>
  <c r="X64" i="7"/>
  <c r="X74" i="7"/>
  <c r="Y54" i="7"/>
  <c r="V65" i="37"/>
  <c r="W14" i="37"/>
  <c r="U78" i="34"/>
  <c r="V22" i="34"/>
  <c r="R83" i="34"/>
  <c r="V32" i="32"/>
  <c r="U77" i="32"/>
  <c r="U25" i="34" s="1"/>
  <c r="U33" i="7"/>
  <c r="T78" i="7"/>
  <c r="T26" i="28" s="1"/>
  <c r="T35" i="32"/>
  <c r="T45" i="32" s="1"/>
  <c r="T74" i="28"/>
  <c r="U18" i="28"/>
  <c r="V15" i="28"/>
  <c r="U71" i="28"/>
  <c r="U68" i="28"/>
  <c r="V12" i="28"/>
  <c r="U20" i="34"/>
  <c r="T76" i="34"/>
  <c r="U58" i="37"/>
  <c r="V7" i="37"/>
  <c r="U22" i="37"/>
  <c r="V9" i="28"/>
  <c r="U65" i="28"/>
  <c r="V60" i="37"/>
  <c r="W9" i="37"/>
  <c r="X10" i="32"/>
  <c r="X43" i="32" s="1"/>
  <c r="W63" i="32"/>
  <c r="W16" i="32"/>
  <c r="Y58" i="32"/>
  <c r="Y73" i="32"/>
  <c r="Y68" i="32"/>
  <c r="Y65" i="32"/>
  <c r="Y71" i="32"/>
  <c r="Y62" i="32"/>
  <c r="Y61" i="32"/>
  <c r="Y60" i="32"/>
  <c r="Y67" i="32"/>
  <c r="Y66" i="32"/>
  <c r="Z54" i="32"/>
  <c r="Y59" i="32"/>
  <c r="Y64" i="32"/>
  <c r="Y74" i="32"/>
  <c r="Y70" i="32"/>
  <c r="Y57" i="32"/>
  <c r="Y5" i="34" s="1"/>
  <c r="Y75" i="32"/>
  <c r="Y72" i="32"/>
  <c r="U14" i="28"/>
  <c r="T70" i="28"/>
  <c r="T8" i="34"/>
  <c r="S64" i="34"/>
  <c r="V20" i="32"/>
  <c r="U35" i="32"/>
  <c r="U45" i="32" s="1"/>
  <c r="U69" i="32"/>
  <c r="Y41" i="32"/>
  <c r="V61" i="28"/>
  <c r="W5" i="28"/>
  <c r="V10" i="28"/>
  <c r="U66" i="28"/>
  <c r="W12" i="34"/>
  <c r="V68" i="34"/>
  <c r="V16" i="34"/>
  <c r="U72" i="34"/>
  <c r="U71" i="34"/>
  <c r="V15" i="34"/>
  <c r="U66" i="34"/>
  <c r="V10" i="34"/>
  <c r="U20" i="28"/>
  <c r="T76" i="28"/>
  <c r="Z12" i="37" l="1"/>
  <c r="Y63" i="37"/>
  <c r="AE60" i="35"/>
  <c r="AE25" i="35"/>
  <c r="B42" i="35" s="1"/>
  <c r="J14" i="13" s="1"/>
  <c r="J44" i="13" s="1"/>
  <c r="AF19" i="35"/>
  <c r="W61" i="37"/>
  <c r="X10" i="37"/>
  <c r="S83" i="28"/>
  <c r="X72" i="37"/>
  <c r="Y21" i="37"/>
  <c r="Y62" i="37"/>
  <c r="Z11" i="37"/>
  <c r="X17" i="37"/>
  <c r="W68" i="37"/>
  <c r="X6" i="37"/>
  <c r="W57" i="37"/>
  <c r="X8" i="37"/>
  <c r="W59" i="37"/>
  <c r="U80" i="34"/>
  <c r="T82" i="34"/>
  <c r="T81" i="28"/>
  <c r="U80" i="28"/>
  <c r="Y61" i="34"/>
  <c r="T27" i="28"/>
  <c r="T82" i="28"/>
  <c r="V18" i="28"/>
  <c r="U74" i="28"/>
  <c r="W65" i="37"/>
  <c r="X14" i="37"/>
  <c r="V23" i="34"/>
  <c r="U79" i="34"/>
  <c r="AG54" i="35"/>
  <c r="AG15" i="35"/>
  <c r="AH9" i="35"/>
  <c r="W20" i="7"/>
  <c r="V69" i="7"/>
  <c r="Y70" i="7"/>
  <c r="Y72" i="7"/>
  <c r="Y57" i="7"/>
  <c r="Y75" i="7"/>
  <c r="Y65" i="7"/>
  <c r="Y68" i="7"/>
  <c r="Y67" i="7"/>
  <c r="Y71" i="7"/>
  <c r="Y61" i="7"/>
  <c r="Y58" i="7"/>
  <c r="Y74" i="7"/>
  <c r="Z54" i="7"/>
  <c r="Y73" i="7"/>
  <c r="Y62" i="7"/>
  <c r="Y60" i="7"/>
  <c r="Y66" i="7"/>
  <c r="Y64" i="7"/>
  <c r="Y59" i="7"/>
  <c r="U67" i="28"/>
  <c r="V11" i="28"/>
  <c r="W21" i="34"/>
  <c r="V77" i="34"/>
  <c r="AE34" i="35"/>
  <c r="AF32" i="35"/>
  <c r="W67" i="37"/>
  <c r="X16" i="37"/>
  <c r="V21" i="28"/>
  <c r="U77" i="28"/>
  <c r="W70" i="37"/>
  <c r="X19" i="37"/>
  <c r="V16" i="28"/>
  <c r="U72" i="28"/>
  <c r="U75" i="34"/>
  <c r="V19" i="34"/>
  <c r="W71" i="37"/>
  <c r="X20" i="37"/>
  <c r="Y41" i="7"/>
  <c r="T73" i="28"/>
  <c r="U17" i="28"/>
  <c r="V66" i="37"/>
  <c r="W15" i="37"/>
  <c r="V65" i="28"/>
  <c r="W9" i="28"/>
  <c r="V66" i="28"/>
  <c r="W10" i="28"/>
  <c r="V58" i="37"/>
  <c r="W7" i="37"/>
  <c r="V22" i="37"/>
  <c r="X5" i="28"/>
  <c r="W61" i="28"/>
  <c r="W18" i="34"/>
  <c r="V74" i="34"/>
  <c r="T75" i="28"/>
  <c r="U19" i="28"/>
  <c r="X56" i="37"/>
  <c r="Y5" i="37"/>
  <c r="U62" i="28"/>
  <c r="V6" i="28"/>
  <c r="W31" i="32"/>
  <c r="V76" i="32"/>
  <c r="V24" i="34" s="1"/>
  <c r="W68" i="34"/>
  <c r="X12" i="34"/>
  <c r="V70" i="34"/>
  <c r="W14" i="34"/>
  <c r="X63" i="32"/>
  <c r="X16" i="32"/>
  <c r="Y10" i="32"/>
  <c r="Y43" i="32" s="1"/>
  <c r="V20" i="34"/>
  <c r="U76" i="34"/>
  <c r="U7" i="28"/>
  <c r="T63" i="28"/>
  <c r="V67" i="34"/>
  <c r="W11" i="34"/>
  <c r="X69" i="37"/>
  <c r="Y18" i="37"/>
  <c r="U73" i="37"/>
  <c r="V14" i="28"/>
  <c r="U70" i="28"/>
  <c r="W15" i="34"/>
  <c r="V71" i="34"/>
  <c r="W12" i="28"/>
  <c r="V68" i="28"/>
  <c r="W32" i="32"/>
  <c r="V77" i="32"/>
  <c r="V25" i="34" s="1"/>
  <c r="U79" i="28"/>
  <c r="V23" i="28"/>
  <c r="V69" i="34"/>
  <c r="W13" i="34"/>
  <c r="W31" i="7"/>
  <c r="V76" i="7"/>
  <c r="V24" i="28" s="1"/>
  <c r="U81" i="34"/>
  <c r="U8" i="34"/>
  <c r="T64" i="34"/>
  <c r="U76" i="28"/>
  <c r="V20" i="28"/>
  <c r="V66" i="34"/>
  <c r="W10" i="34"/>
  <c r="Z64" i="32"/>
  <c r="Z71" i="32"/>
  <c r="Z65" i="32"/>
  <c r="Z67" i="32"/>
  <c r="Z68" i="32"/>
  <c r="Z72" i="32"/>
  <c r="Z73" i="32"/>
  <c r="Z61" i="32"/>
  <c r="Z57" i="32"/>
  <c r="Z5" i="34" s="1"/>
  <c r="Z66" i="32"/>
  <c r="Z70" i="32"/>
  <c r="Z60" i="32"/>
  <c r="Z62" i="32"/>
  <c r="Z58" i="32"/>
  <c r="AA54" i="32"/>
  <c r="Z59" i="32"/>
  <c r="Z74" i="32"/>
  <c r="Z75" i="32"/>
  <c r="V33" i="7"/>
  <c r="U78" i="7"/>
  <c r="U26" i="28" s="1"/>
  <c r="W60" i="37"/>
  <c r="X9" i="37"/>
  <c r="V78" i="28"/>
  <c r="W22" i="28"/>
  <c r="T73" i="34"/>
  <c r="U17" i="34"/>
  <c r="X10" i="7"/>
  <c r="W63" i="7"/>
  <c r="W16" i="7"/>
  <c r="V32" i="7"/>
  <c r="U77" i="7"/>
  <c r="U25" i="28" s="1"/>
  <c r="W20" i="32"/>
  <c r="V69" i="32"/>
  <c r="W62" i="34"/>
  <c r="X6" i="34"/>
  <c r="U69" i="28"/>
  <c r="V13" i="28"/>
  <c r="Z41" i="32"/>
  <c r="W22" i="34"/>
  <c r="V78" i="34"/>
  <c r="S83" i="34"/>
  <c r="V72" i="34"/>
  <c r="W16" i="34"/>
  <c r="V71" i="28"/>
  <c r="W15" i="28"/>
  <c r="T63" i="34"/>
  <c r="U7" i="34"/>
  <c r="T27" i="34"/>
  <c r="T64" i="28"/>
  <c r="U8" i="28"/>
  <c r="U35" i="7"/>
  <c r="U45" i="7" s="1"/>
  <c r="J13" i="13"/>
  <c r="J8" i="13"/>
  <c r="J38" i="13" s="1"/>
  <c r="Y9" i="34"/>
  <c r="X65" i="34"/>
  <c r="Y13" i="37"/>
  <c r="X64" i="37"/>
  <c r="V33" i="32"/>
  <c r="V35" i="32" s="1"/>
  <c r="V45" i="32" s="1"/>
  <c r="U78" i="32"/>
  <c r="U26" i="34" s="1"/>
  <c r="AG19" i="35" l="1"/>
  <c r="AF25" i="35"/>
  <c r="AF60" i="35"/>
  <c r="Z63" i="37"/>
  <c r="AA12" i="37"/>
  <c r="X61" i="37"/>
  <c r="Y10" i="37"/>
  <c r="T83" i="28"/>
  <c r="X59" i="37"/>
  <c r="Y8" i="37"/>
  <c r="Y6" i="37"/>
  <c r="X57" i="37"/>
  <c r="V73" i="37"/>
  <c r="Y17" i="37"/>
  <c r="X68" i="37"/>
  <c r="AA11" i="37"/>
  <c r="Z62" i="37"/>
  <c r="Y72" i="37"/>
  <c r="Z21" i="37"/>
  <c r="V80" i="34"/>
  <c r="U81" i="28"/>
  <c r="Z61" i="34"/>
  <c r="V80" i="28"/>
  <c r="U82" i="28"/>
  <c r="U82" i="34"/>
  <c r="W72" i="34"/>
  <c r="X16" i="34"/>
  <c r="W67" i="34"/>
  <c r="X11" i="34"/>
  <c r="X12" i="28"/>
  <c r="W68" i="28"/>
  <c r="W66" i="28"/>
  <c r="X10" i="28"/>
  <c r="X20" i="32"/>
  <c r="W69" i="32"/>
  <c r="AA68" i="32"/>
  <c r="AA58" i="32"/>
  <c r="AB54" i="32"/>
  <c r="AA70" i="32"/>
  <c r="AA65" i="32"/>
  <c r="AA57" i="32"/>
  <c r="AA5" i="34" s="1"/>
  <c r="AA66" i="32"/>
  <c r="AA71" i="32"/>
  <c r="AA62" i="32"/>
  <c r="AA59" i="32"/>
  <c r="AA73" i="32"/>
  <c r="AA72" i="32"/>
  <c r="AA60" i="32"/>
  <c r="AA74" i="32"/>
  <c r="AA64" i="32"/>
  <c r="AA75" i="32"/>
  <c r="AA61" i="32"/>
  <c r="AA67" i="32"/>
  <c r="V77" i="28"/>
  <c r="W21" i="28"/>
  <c r="U64" i="28"/>
  <c r="V8" i="28"/>
  <c r="X60" i="37"/>
  <c r="Y9" i="37"/>
  <c r="U63" i="28"/>
  <c r="V7" i="28"/>
  <c r="X68" i="34"/>
  <c r="Y12" i="34"/>
  <c r="U75" i="28"/>
  <c r="V19" i="28"/>
  <c r="W65" i="28"/>
  <c r="X9" i="28"/>
  <c r="Y16" i="37"/>
  <c r="X67" i="37"/>
  <c r="W78" i="34"/>
  <c r="X22" i="34"/>
  <c r="W32" i="7"/>
  <c r="V77" i="7"/>
  <c r="V25" i="28" s="1"/>
  <c r="X31" i="7"/>
  <c r="W76" i="7"/>
  <c r="W24" i="28" s="1"/>
  <c r="V79" i="34"/>
  <c r="W23" i="34"/>
  <c r="J43" i="13"/>
  <c r="W33" i="32"/>
  <c r="W35" i="32" s="1"/>
  <c r="W45" i="32" s="1"/>
  <c r="V78" i="32"/>
  <c r="V26" i="34" s="1"/>
  <c r="AA41" i="32"/>
  <c r="W66" i="34"/>
  <c r="X10" i="34"/>
  <c r="X15" i="34"/>
  <c r="W71" i="34"/>
  <c r="V76" i="34"/>
  <c r="W20" i="34"/>
  <c r="W66" i="37"/>
  <c r="X15" i="37"/>
  <c r="V75" i="34"/>
  <c r="W19" i="34"/>
  <c r="AF34" i="35"/>
  <c r="AF36" i="35" s="1"/>
  <c r="AG32" i="35"/>
  <c r="Y14" i="37"/>
  <c r="X65" i="37"/>
  <c r="V7" i="34"/>
  <c r="U63" i="34"/>
  <c r="U27" i="34"/>
  <c r="W33" i="7"/>
  <c r="V78" i="7"/>
  <c r="V26" i="28" s="1"/>
  <c r="X31" i="32"/>
  <c r="W76" i="32"/>
  <c r="W24" i="34" s="1"/>
  <c r="X18" i="34"/>
  <c r="W74" i="34"/>
  <c r="Z61" i="7"/>
  <c r="Z65" i="7"/>
  <c r="Z64" i="7"/>
  <c r="Z58" i="7"/>
  <c r="Z75" i="7"/>
  <c r="Z57" i="7"/>
  <c r="Z68" i="7"/>
  <c r="Z67" i="7"/>
  <c r="Z66" i="7"/>
  <c r="Z71" i="7"/>
  <c r="Z60" i="7"/>
  <c r="AA54" i="7"/>
  <c r="Z74" i="7"/>
  <c r="Z59" i="7"/>
  <c r="Z72" i="7"/>
  <c r="Z73" i="7"/>
  <c r="Z62" i="7"/>
  <c r="Z70" i="7"/>
  <c r="T83" i="34"/>
  <c r="W13" i="28"/>
  <c r="V69" i="28"/>
  <c r="Y10" i="7"/>
  <c r="Y43" i="7" s="1"/>
  <c r="X63" i="7"/>
  <c r="X16" i="7"/>
  <c r="V76" i="28"/>
  <c r="W20" i="28"/>
  <c r="V70" i="28"/>
  <c r="W14" i="28"/>
  <c r="U27" i="28"/>
  <c r="V81" i="34"/>
  <c r="W70" i="34"/>
  <c r="X14" i="34"/>
  <c r="Y64" i="37"/>
  <c r="Z13" i="37"/>
  <c r="W69" i="34"/>
  <c r="X13" i="34"/>
  <c r="Z10" i="32"/>
  <c r="Z43" i="32" s="1"/>
  <c r="Y16" i="32"/>
  <c r="Y63" i="32"/>
  <c r="B43" i="35"/>
  <c r="AE36" i="35"/>
  <c r="Z9" i="34"/>
  <c r="Y65" i="34"/>
  <c r="X15" i="28"/>
  <c r="W71" i="28"/>
  <c r="U73" i="34"/>
  <c r="V17" i="34"/>
  <c r="V79" i="28"/>
  <c r="W23" i="28"/>
  <c r="V62" i="28"/>
  <c r="W6" i="28"/>
  <c r="V17" i="28"/>
  <c r="U73" i="28"/>
  <c r="W77" i="34"/>
  <c r="X21" i="34"/>
  <c r="W18" i="28"/>
  <c r="V74" i="28"/>
  <c r="Y20" i="37"/>
  <c r="X71" i="37"/>
  <c r="Z18" i="37"/>
  <c r="Y69" i="37"/>
  <c r="X61" i="28"/>
  <c r="Y5" i="28"/>
  <c r="X62" i="34"/>
  <c r="Y6" i="34"/>
  <c r="V8" i="34"/>
  <c r="U64" i="34"/>
  <c r="Z5" i="37"/>
  <c r="Y56" i="37"/>
  <c r="X43" i="7"/>
  <c r="W16" i="28"/>
  <c r="V72" i="28"/>
  <c r="V35" i="7"/>
  <c r="V45" i="7" s="1"/>
  <c r="AH54" i="35"/>
  <c r="AH15" i="35"/>
  <c r="AI9" i="35"/>
  <c r="X22" i="28"/>
  <c r="W78" i="28"/>
  <c r="V67" i="28"/>
  <c r="W11" i="28"/>
  <c r="X32" i="32"/>
  <c r="W77" i="32"/>
  <c r="W25" i="34" s="1"/>
  <c r="X7" i="37"/>
  <c r="W58" i="37"/>
  <c r="W22" i="37"/>
  <c r="Z41" i="7"/>
  <c r="X70" i="37"/>
  <c r="Y19" i="37"/>
  <c r="X20" i="7"/>
  <c r="W69" i="7"/>
  <c r="AB12" i="37" l="1"/>
  <c r="AA63" i="37"/>
  <c r="AG25" i="35"/>
  <c r="AH19" i="35"/>
  <c r="AG60" i="35"/>
  <c r="U83" i="28"/>
  <c r="Z10" i="37"/>
  <c r="Y61" i="37"/>
  <c r="AA62" i="37"/>
  <c r="AB11" i="37"/>
  <c r="Z17" i="37"/>
  <c r="Y68" i="37"/>
  <c r="Z72" i="37"/>
  <c r="AA21" i="37"/>
  <c r="Y57" i="37"/>
  <c r="Z6" i="37"/>
  <c r="Z8" i="37"/>
  <c r="Y59" i="37"/>
  <c r="W81" i="34"/>
  <c r="W80" i="34"/>
  <c r="W80" i="28"/>
  <c r="V81" i="28"/>
  <c r="V27" i="28"/>
  <c r="AA61" i="34"/>
  <c r="Y22" i="28"/>
  <c r="X78" i="28"/>
  <c r="Y31" i="32"/>
  <c r="X76" i="32"/>
  <c r="X24" i="34" s="1"/>
  <c r="Y62" i="34"/>
  <c r="Z6" i="34"/>
  <c r="Y71" i="37"/>
  <c r="Z20" i="37"/>
  <c r="V73" i="34"/>
  <c r="W17" i="34"/>
  <c r="W70" i="28"/>
  <c r="X14" i="28"/>
  <c r="Y22" i="34"/>
  <c r="X78" i="34"/>
  <c r="Y20" i="32"/>
  <c r="X69" i="32"/>
  <c r="V64" i="34"/>
  <c r="W8" i="34"/>
  <c r="Y13" i="34"/>
  <c r="X69" i="34"/>
  <c r="X32" i="7"/>
  <c r="W77" i="7"/>
  <c r="W25" i="28" s="1"/>
  <c r="Y32" i="32"/>
  <c r="X77" i="32"/>
  <c r="X25" i="34" s="1"/>
  <c r="Z64" i="37"/>
  <c r="AA13" i="37"/>
  <c r="X33" i="7"/>
  <c r="W78" i="7"/>
  <c r="W26" i="28" s="1"/>
  <c r="Y15" i="37"/>
  <c r="X66" i="37"/>
  <c r="X33" i="32"/>
  <c r="X35" i="32" s="1"/>
  <c r="X45" i="32" s="1"/>
  <c r="W78" i="32"/>
  <c r="W26" i="34" s="1"/>
  <c r="Z9" i="37"/>
  <c r="Y60" i="37"/>
  <c r="Y10" i="28"/>
  <c r="X66" i="28"/>
  <c r="X23" i="28"/>
  <c r="W79" i="28"/>
  <c r="V82" i="34"/>
  <c r="X20" i="28"/>
  <c r="W76" i="28"/>
  <c r="X77" i="34"/>
  <c r="Y21" i="34"/>
  <c r="U83" i="34"/>
  <c r="X20" i="34"/>
  <c r="W76" i="34"/>
  <c r="W8" i="28"/>
  <c r="V64" i="28"/>
  <c r="Y7" i="37"/>
  <c r="X58" i="37"/>
  <c r="X22" i="37"/>
  <c r="V63" i="34"/>
  <c r="W7" i="34"/>
  <c r="V27" i="34"/>
  <c r="W79" i="34"/>
  <c r="X23" i="34"/>
  <c r="Z16" i="37"/>
  <c r="Y67" i="37"/>
  <c r="Y12" i="28"/>
  <c r="X68" i="28"/>
  <c r="W35" i="7"/>
  <c r="W45" i="7" s="1"/>
  <c r="X16" i="28"/>
  <c r="W72" i="28"/>
  <c r="Y61" i="28"/>
  <c r="Z5" i="28"/>
  <c r="AA9" i="34"/>
  <c r="Z65" i="34"/>
  <c r="X65" i="28"/>
  <c r="Y9" i="28"/>
  <c r="Y11" i="34"/>
  <c r="X67" i="34"/>
  <c r="V82" i="28"/>
  <c r="Y70" i="37"/>
  <c r="Z19" i="37"/>
  <c r="AA41" i="7"/>
  <c r="X11" i="28"/>
  <c r="W67" i="28"/>
  <c r="V73" i="28"/>
  <c r="W17" i="28"/>
  <c r="Y16" i="7"/>
  <c r="Z10" i="7"/>
  <c r="Z43" i="7" s="1"/>
  <c r="Y63" i="7"/>
  <c r="X71" i="34"/>
  <c r="Y15" i="34"/>
  <c r="W77" i="28"/>
  <c r="X21" i="28"/>
  <c r="Z63" i="32"/>
  <c r="AA10" i="32"/>
  <c r="Z16" i="32"/>
  <c r="AB41" i="32"/>
  <c r="Y20" i="7"/>
  <c r="X69" i="7"/>
  <c r="Y14" i="34"/>
  <c r="X70" i="34"/>
  <c r="AA68" i="7"/>
  <c r="AA70" i="7"/>
  <c r="AA58" i="7"/>
  <c r="AA66" i="7"/>
  <c r="AA67" i="7"/>
  <c r="AA57" i="7"/>
  <c r="AA72" i="7"/>
  <c r="AA61" i="7"/>
  <c r="AA73" i="7"/>
  <c r="AA60" i="7"/>
  <c r="AA64" i="7"/>
  <c r="AA59" i="7"/>
  <c r="AA65" i="7"/>
  <c r="AA62" i="7"/>
  <c r="AB54" i="7"/>
  <c r="AA75" i="7"/>
  <c r="AA71" i="7"/>
  <c r="AA74" i="7"/>
  <c r="Y10" i="34"/>
  <c r="X66" i="34"/>
  <c r="V75" i="28"/>
  <c r="W19" i="28"/>
  <c r="AB75" i="32"/>
  <c r="AB67" i="32"/>
  <c r="AB68" i="32"/>
  <c r="AB64" i="32"/>
  <c r="AB58" i="32"/>
  <c r="AB71" i="32"/>
  <c r="AB61" i="32"/>
  <c r="AB57" i="32"/>
  <c r="AB5" i="34" s="1"/>
  <c r="AB73" i="32"/>
  <c r="AB72" i="32"/>
  <c r="AB60" i="32"/>
  <c r="AB62" i="32"/>
  <c r="AB74" i="32"/>
  <c r="AB70" i="32"/>
  <c r="AB59" i="32"/>
  <c r="AC54" i="32"/>
  <c r="AB66" i="32"/>
  <c r="AB65" i="32"/>
  <c r="X72" i="34"/>
  <c r="Y16" i="34"/>
  <c r="AJ9" i="35"/>
  <c r="AI15" i="35"/>
  <c r="AI54" i="35"/>
  <c r="X19" i="34"/>
  <c r="W75" i="34"/>
  <c r="J15" i="13"/>
  <c r="B44" i="35"/>
  <c r="Z69" i="37"/>
  <c r="AA18" i="37"/>
  <c r="X6" i="28"/>
  <c r="W62" i="28"/>
  <c r="X13" i="28"/>
  <c r="W69" i="28"/>
  <c r="Y65" i="37"/>
  <c r="Z14" i="37"/>
  <c r="W7" i="28"/>
  <c r="V63" i="28"/>
  <c r="X18" i="28"/>
  <c r="W74" i="28"/>
  <c r="Y15" i="28"/>
  <c r="X71" i="28"/>
  <c r="AA5" i="37"/>
  <c r="Z56" i="37"/>
  <c r="W73" i="37"/>
  <c r="X74" i="34"/>
  <c r="Y18" i="34"/>
  <c r="AG34" i="35"/>
  <c r="AG36" i="35" s="1"/>
  <c r="AH32" i="35"/>
  <c r="Y31" i="7"/>
  <c r="X76" i="7"/>
  <c r="X24" i="28" s="1"/>
  <c r="Y68" i="34"/>
  <c r="Z12" i="34"/>
  <c r="AH25" i="35" l="1"/>
  <c r="AI19" i="35"/>
  <c r="AH60" i="35"/>
  <c r="AB63" i="37"/>
  <c r="AC12" i="37"/>
  <c r="AA10" i="37"/>
  <c r="Z61" i="37"/>
  <c r="V83" i="28"/>
  <c r="V83" i="34"/>
  <c r="AA8" i="37"/>
  <c r="Z59" i="37"/>
  <c r="AA6" i="37"/>
  <c r="Z57" i="37"/>
  <c r="X73" i="37"/>
  <c r="AB21" i="37"/>
  <c r="AA72" i="37"/>
  <c r="Z68" i="37"/>
  <c r="AA17" i="37"/>
  <c r="AB62" i="37"/>
  <c r="AC11" i="37"/>
  <c r="X80" i="34"/>
  <c r="X81" i="34"/>
  <c r="X80" i="28"/>
  <c r="W82" i="34"/>
  <c r="AB61" i="34"/>
  <c r="AC5" i="34"/>
  <c r="AC41" i="32"/>
  <c r="Y32" i="7"/>
  <c r="X77" i="7"/>
  <c r="X25" i="28" s="1"/>
  <c r="W73" i="34"/>
  <c r="X17" i="34"/>
  <c r="Y16" i="28"/>
  <c r="X72" i="28"/>
  <c r="W63" i="28"/>
  <c r="X7" i="28"/>
  <c r="X17" i="28"/>
  <c r="W73" i="28"/>
  <c r="AA63" i="32"/>
  <c r="AB10" i="32"/>
  <c r="AA16" i="32"/>
  <c r="Z13" i="34"/>
  <c r="Y69" i="34"/>
  <c r="AA20" i="37"/>
  <c r="Z71" i="37"/>
  <c r="C42" i="35"/>
  <c r="K14" i="13" s="1"/>
  <c r="C41" i="35"/>
  <c r="Y67" i="34"/>
  <c r="Z11" i="34"/>
  <c r="Y20" i="28"/>
  <c r="X76" i="28"/>
  <c r="Z15" i="37"/>
  <c r="Y66" i="37"/>
  <c r="X8" i="34"/>
  <c r="W64" i="34"/>
  <c r="Z21" i="34"/>
  <c r="Y77" i="34"/>
  <c r="Z10" i="34"/>
  <c r="Y66" i="34"/>
  <c r="Y70" i="34"/>
  <c r="Z14" i="34"/>
  <c r="Y21" i="28"/>
  <c r="X77" i="28"/>
  <c r="Y65" i="28"/>
  <c r="Z9" i="28"/>
  <c r="Y68" i="28"/>
  <c r="Z12" i="28"/>
  <c r="Y58" i="37"/>
  <c r="Z7" i="37"/>
  <c r="Y22" i="37"/>
  <c r="Y33" i="7"/>
  <c r="X78" i="7"/>
  <c r="X26" i="28" s="1"/>
  <c r="Z62" i="34"/>
  <c r="AA6" i="34"/>
  <c r="W81" i="28"/>
  <c r="X35" i="7"/>
  <c r="X45" i="7" s="1"/>
  <c r="X67" i="28"/>
  <c r="Y11" i="28"/>
  <c r="AB13" i="37"/>
  <c r="AA64" i="37"/>
  <c r="Y33" i="32"/>
  <c r="Y35" i="32" s="1"/>
  <c r="Y45" i="32" s="1"/>
  <c r="X78" i="32"/>
  <c r="X26" i="34" s="1"/>
  <c r="C43" i="35"/>
  <c r="K15" i="13" s="1"/>
  <c r="Y13" i="28"/>
  <c r="X69" i="28"/>
  <c r="Y19" i="34"/>
  <c r="X75" i="34"/>
  <c r="AC68" i="32"/>
  <c r="AC74" i="32"/>
  <c r="AC65" i="32"/>
  <c r="AC60" i="32"/>
  <c r="AC59" i="32"/>
  <c r="AC73" i="32"/>
  <c r="AC64" i="32"/>
  <c r="AD54" i="32"/>
  <c r="AC67" i="32"/>
  <c r="AC75" i="32"/>
  <c r="AC58" i="32"/>
  <c r="AC61" i="32"/>
  <c r="AC62" i="32"/>
  <c r="AC66" i="32"/>
  <c r="AC70" i="32"/>
  <c r="AC71" i="32"/>
  <c r="AC57" i="32"/>
  <c r="AC72" i="32"/>
  <c r="Z20" i="7"/>
  <c r="Y69" i="7"/>
  <c r="AB41" i="7"/>
  <c r="AB9" i="34"/>
  <c r="AA65" i="34"/>
  <c r="AA16" i="37"/>
  <c r="Z67" i="37"/>
  <c r="X79" i="28"/>
  <c r="Y23" i="28"/>
  <c r="Z20" i="32"/>
  <c r="Y69" i="32"/>
  <c r="AA12" i="34"/>
  <c r="Z68" i="34"/>
  <c r="AB5" i="37"/>
  <c r="AA56" i="37"/>
  <c r="Y71" i="34"/>
  <c r="Z15" i="34"/>
  <c r="Z31" i="7"/>
  <c r="Y76" i="7"/>
  <c r="Y24" i="28" s="1"/>
  <c r="AI32" i="35"/>
  <c r="AH34" i="35"/>
  <c r="AH36" i="35" s="1"/>
  <c r="Y23" i="34"/>
  <c r="X79" i="34"/>
  <c r="W64" i="28"/>
  <c r="X8" i="28"/>
  <c r="Z65" i="37"/>
  <c r="AA14" i="37"/>
  <c r="Z15" i="28"/>
  <c r="Y71" i="28"/>
  <c r="Z61" i="28"/>
  <c r="AA5" i="28"/>
  <c r="Y66" i="28"/>
  <c r="Z10" i="28"/>
  <c r="Z22" i="34"/>
  <c r="Y78" i="34"/>
  <c r="Z31" i="32"/>
  <c r="Y76" i="32"/>
  <c r="Y24" i="34" s="1"/>
  <c r="Y6" i="28"/>
  <c r="X62" i="28"/>
  <c r="W82" i="28"/>
  <c r="AB71" i="7"/>
  <c r="AC54" i="7"/>
  <c r="AB66" i="7"/>
  <c r="AB70" i="7"/>
  <c r="AB67" i="7"/>
  <c r="AB62" i="7"/>
  <c r="AB75" i="7"/>
  <c r="AB60" i="7"/>
  <c r="AB73" i="7"/>
  <c r="AB58" i="7"/>
  <c r="AB72" i="7"/>
  <c r="AB64" i="7"/>
  <c r="AB65" i="7"/>
  <c r="AB59" i="7"/>
  <c r="AB74" i="7"/>
  <c r="AB61" i="7"/>
  <c r="AB68" i="7"/>
  <c r="AB57" i="7"/>
  <c r="Y74" i="34"/>
  <c r="Z18" i="34"/>
  <c r="W27" i="28"/>
  <c r="AJ15" i="35"/>
  <c r="AK9" i="35"/>
  <c r="AJ54" i="35"/>
  <c r="AA19" i="37"/>
  <c r="Z70" i="37"/>
  <c r="Y20" i="34"/>
  <c r="X76" i="34"/>
  <c r="Z32" i="32"/>
  <c r="Y77" i="32"/>
  <c r="Y25" i="34" s="1"/>
  <c r="Y14" i="28"/>
  <c r="X70" i="28"/>
  <c r="AB18" i="37"/>
  <c r="AA69" i="37"/>
  <c r="J45" i="13"/>
  <c r="J16" i="13"/>
  <c r="J46" i="13" s="1"/>
  <c r="Y18" i="28"/>
  <c r="X74" i="28"/>
  <c r="Z16" i="34"/>
  <c r="Y72" i="34"/>
  <c r="X19" i="28"/>
  <c r="W75" i="28"/>
  <c r="AA43" i="32"/>
  <c r="Z63" i="7"/>
  <c r="AA10" i="7"/>
  <c r="AA43" i="7" s="1"/>
  <c r="Z16" i="7"/>
  <c r="W63" i="34"/>
  <c r="X7" i="34"/>
  <c r="W27" i="34"/>
  <c r="AA9" i="37"/>
  <c r="Z60" i="37"/>
  <c r="Y78" i="28"/>
  <c r="Z22" i="28"/>
  <c r="AC63" i="37" l="1"/>
  <c r="AD12" i="37"/>
  <c r="AI25" i="35"/>
  <c r="AJ19" i="35"/>
  <c r="AI60" i="35"/>
  <c r="Y35" i="7"/>
  <c r="Y45" i="7" s="1"/>
  <c r="AB10" i="37"/>
  <c r="AA61" i="37"/>
  <c r="W83" i="28"/>
  <c r="AC62" i="37"/>
  <c r="AD11" i="37"/>
  <c r="AA68" i="37"/>
  <c r="AB17" i="37"/>
  <c r="AB72" i="37"/>
  <c r="AC21" i="37"/>
  <c r="Y73" i="37"/>
  <c r="AA57" i="37"/>
  <c r="AB6" i="37"/>
  <c r="AB8" i="37"/>
  <c r="AA59" i="37"/>
  <c r="X82" i="34"/>
  <c r="Y80" i="28"/>
  <c r="Y80" i="34"/>
  <c r="Y81" i="34"/>
  <c r="Z71" i="28"/>
  <c r="AA15" i="28"/>
  <c r="Y67" i="28"/>
  <c r="Z11" i="28"/>
  <c r="Z77" i="34"/>
  <c r="AA21" i="34"/>
  <c r="AB20" i="37"/>
  <c r="AA71" i="37"/>
  <c r="AD41" i="32"/>
  <c r="AD5" i="34"/>
  <c r="AC61" i="34"/>
  <c r="AA20" i="32"/>
  <c r="Z69" i="32"/>
  <c r="X64" i="34"/>
  <c r="Y8" i="34"/>
  <c r="AA31" i="32"/>
  <c r="Z76" i="32"/>
  <c r="Z24" i="34" s="1"/>
  <c r="AA31" i="7"/>
  <c r="Z76" i="7"/>
  <c r="Z24" i="28" s="1"/>
  <c r="X81" i="28"/>
  <c r="Z65" i="28"/>
  <c r="AA9" i="28"/>
  <c r="Y7" i="28"/>
  <c r="X63" i="28"/>
  <c r="Y62" i="28"/>
  <c r="Z6" i="28"/>
  <c r="AL9" i="35"/>
  <c r="AK54" i="35"/>
  <c r="AK15" i="35"/>
  <c r="Y8" i="28"/>
  <c r="X64" i="28"/>
  <c r="Z71" i="34"/>
  <c r="AA15" i="34"/>
  <c r="Y79" i="28"/>
  <c r="Z23" i="28"/>
  <c r="Y69" i="28"/>
  <c r="Z13" i="28"/>
  <c r="AA15" i="37"/>
  <c r="Z66" i="37"/>
  <c r="Z19" i="34"/>
  <c r="Y75" i="34"/>
  <c r="AC71" i="7"/>
  <c r="AC62" i="7"/>
  <c r="AC65" i="7"/>
  <c r="AC61" i="7"/>
  <c r="AC66" i="7"/>
  <c r="AC70" i="7"/>
  <c r="AC60" i="7"/>
  <c r="AC72" i="7"/>
  <c r="AC73" i="7"/>
  <c r="AC64" i="7"/>
  <c r="AC58" i="7"/>
  <c r="AC59" i="7"/>
  <c r="AC67" i="7"/>
  <c r="AD54" i="7"/>
  <c r="AC75" i="7"/>
  <c r="AC68" i="7"/>
  <c r="AC57" i="7"/>
  <c r="AC74" i="7"/>
  <c r="Z78" i="34"/>
  <c r="AA22" i="34"/>
  <c r="AE54" i="32"/>
  <c r="AD73" i="32"/>
  <c r="AD72" i="32"/>
  <c r="AD62" i="32"/>
  <c r="AD71" i="32"/>
  <c r="AD66" i="32"/>
  <c r="AD57" i="32"/>
  <c r="AD75" i="32"/>
  <c r="AD58" i="32"/>
  <c r="AD70" i="32"/>
  <c r="AD67" i="32"/>
  <c r="AD74" i="32"/>
  <c r="AD59" i="32"/>
  <c r="AD61" i="32"/>
  <c r="AD60" i="32"/>
  <c r="AD65" i="32"/>
  <c r="AD68" i="32"/>
  <c r="AD64" i="32"/>
  <c r="Z66" i="28"/>
  <c r="AA10" i="28"/>
  <c r="AA62" i="34"/>
  <c r="AB6" i="34"/>
  <c r="Z21" i="28"/>
  <c r="Y77" i="28"/>
  <c r="Y76" i="28"/>
  <c r="Z20" i="28"/>
  <c r="AC10" i="32"/>
  <c r="AC43" i="32" s="1"/>
  <c r="AB63" i="32"/>
  <c r="AB16" i="32"/>
  <c r="Z16" i="28"/>
  <c r="Y72" i="28"/>
  <c r="AI34" i="35"/>
  <c r="AI36" i="35" s="1"/>
  <c r="AJ32" i="35"/>
  <c r="X73" i="28"/>
  <c r="Y17" i="28"/>
  <c r="AB19" i="37"/>
  <c r="AA70" i="37"/>
  <c r="Z14" i="28"/>
  <c r="Y70" i="28"/>
  <c r="Z74" i="34"/>
  <c r="AA18" i="34"/>
  <c r="Z23" i="34"/>
  <c r="Y79" i="34"/>
  <c r="AB16" i="37"/>
  <c r="AA67" i="37"/>
  <c r="Z33" i="32"/>
  <c r="Y78" i="32"/>
  <c r="Y26" i="34" s="1"/>
  <c r="Z70" i="34"/>
  <c r="AA14" i="34"/>
  <c r="Z67" i="34"/>
  <c r="AA11" i="34"/>
  <c r="X73" i="34"/>
  <c r="Y17" i="34"/>
  <c r="Z68" i="28"/>
  <c r="AA12" i="28"/>
  <c r="AA20" i="7"/>
  <c r="Z69" i="7"/>
  <c r="AB5" i="28"/>
  <c r="AA61" i="28"/>
  <c r="AB56" i="37"/>
  <c r="AC5" i="37"/>
  <c r="AA22" i="28"/>
  <c r="Z78" i="28"/>
  <c r="AA16" i="34"/>
  <c r="Z72" i="34"/>
  <c r="X82" i="28"/>
  <c r="AC9" i="34"/>
  <c r="AB65" i="34"/>
  <c r="Z33" i="7"/>
  <c r="Y78" i="7"/>
  <c r="Y26" i="28" s="1"/>
  <c r="C44" i="35"/>
  <c r="K13" i="13"/>
  <c r="AB9" i="37"/>
  <c r="AA60" i="37"/>
  <c r="Y74" i="28"/>
  <c r="Z18" i="28"/>
  <c r="W83" i="34"/>
  <c r="AA32" i="32"/>
  <c r="Z77" i="32"/>
  <c r="Z25" i="34" s="1"/>
  <c r="AA68" i="34"/>
  <c r="AB12" i="34"/>
  <c r="AA10" i="34"/>
  <c r="Z66" i="34"/>
  <c r="Z32" i="7"/>
  <c r="Y77" i="7"/>
  <c r="Y25" i="28" s="1"/>
  <c r="AB14" i="37"/>
  <c r="AA65" i="37"/>
  <c r="AA13" i="34"/>
  <c r="Z69" i="34"/>
  <c r="X75" i="28"/>
  <c r="Y19" i="28"/>
  <c r="AC18" i="37"/>
  <c r="AB69" i="37"/>
  <c r="Y7" i="34"/>
  <c r="X63" i="34"/>
  <c r="X27" i="34"/>
  <c r="AB10" i="7"/>
  <c r="AB43" i="7" s="1"/>
  <c r="AA16" i="7"/>
  <c r="AA63" i="7"/>
  <c r="Y76" i="34"/>
  <c r="Z20" i="34"/>
  <c r="X27" i="28"/>
  <c r="AC41" i="7"/>
  <c r="AC13" i="37"/>
  <c r="AB64" i="37"/>
  <c r="AA7" i="37"/>
  <c r="Z58" i="37"/>
  <c r="Z22" i="37"/>
  <c r="AB43" i="32"/>
  <c r="AK19" i="35" l="1"/>
  <c r="AJ25" i="35"/>
  <c r="AJ60" i="35"/>
  <c r="AD63" i="37"/>
  <c r="AE12" i="37"/>
  <c r="Z73" i="37"/>
  <c r="AB61" i="37"/>
  <c r="AC10" i="37"/>
  <c r="X83" i="28"/>
  <c r="X83" i="34"/>
  <c r="AB59" i="37"/>
  <c r="AC8" i="37"/>
  <c r="AB57" i="37"/>
  <c r="AC6" i="37"/>
  <c r="AC72" i="37"/>
  <c r="AD21" i="37"/>
  <c r="AB68" i="37"/>
  <c r="AC17" i="37"/>
  <c r="AE11" i="37"/>
  <c r="AD62" i="37"/>
  <c r="Y82" i="28"/>
  <c r="Y82" i="34"/>
  <c r="Z80" i="34"/>
  <c r="Z81" i="34"/>
  <c r="Y27" i="28"/>
  <c r="Z80" i="28"/>
  <c r="AD41" i="7"/>
  <c r="AA32" i="7"/>
  <c r="AA35" i="7" s="1"/>
  <c r="AA45" i="7" s="1"/>
  <c r="Z77" i="7"/>
  <c r="Z25" i="28" s="1"/>
  <c r="Z74" i="28"/>
  <c r="AA18" i="28"/>
  <c r="AB10" i="28"/>
  <c r="AA66" i="28"/>
  <c r="AE60" i="32"/>
  <c r="AE71" i="32"/>
  <c r="AE62" i="32"/>
  <c r="AE59" i="32"/>
  <c r="AE66" i="32"/>
  <c r="AE61" i="32"/>
  <c r="AE74" i="32"/>
  <c r="AE65" i="32"/>
  <c r="AE57" i="32"/>
  <c r="AE5" i="34" s="1"/>
  <c r="AE64" i="32"/>
  <c r="AE58" i="32"/>
  <c r="AE72" i="32"/>
  <c r="AE73" i="32"/>
  <c r="AE75" i="32"/>
  <c r="AE68" i="32"/>
  <c r="AE67" i="32"/>
  <c r="AE70" i="32"/>
  <c r="AF54" i="32"/>
  <c r="AA71" i="28"/>
  <c r="AB15" i="28"/>
  <c r="AA74" i="34"/>
  <c r="AB18" i="34"/>
  <c r="AC69" i="37"/>
  <c r="AD18" i="37"/>
  <c r="AA66" i="34"/>
  <c r="AB10" i="34"/>
  <c r="AA14" i="28"/>
  <c r="Z70" i="28"/>
  <c r="AC63" i="32"/>
  <c r="AC16" i="32"/>
  <c r="AD10" i="32"/>
  <c r="AD43" i="32" s="1"/>
  <c r="AB31" i="7"/>
  <c r="AA76" i="7"/>
  <c r="AA24" i="28" s="1"/>
  <c r="AE41" i="32"/>
  <c r="Z35" i="7"/>
  <c r="Z45" i="7" s="1"/>
  <c r="Z76" i="28"/>
  <c r="AA20" i="28"/>
  <c r="AL54" i="35"/>
  <c r="AM9" i="35"/>
  <c r="AL15" i="35"/>
  <c r="Y81" i="28"/>
  <c r="AC5" i="28"/>
  <c r="AB61" i="28"/>
  <c r="AC12" i="34"/>
  <c r="AB68" i="34"/>
  <c r="AA33" i="32"/>
  <c r="AA35" i="32" s="1"/>
  <c r="AA45" i="32" s="1"/>
  <c r="Z78" i="32"/>
  <c r="Z26" i="34" s="1"/>
  <c r="AA66" i="37"/>
  <c r="AB15" i="37"/>
  <c r="AB31" i="32"/>
  <c r="AA76" i="32"/>
  <c r="AA24" i="34" s="1"/>
  <c r="AC20" i="37"/>
  <c r="AB71" i="37"/>
  <c r="Z72" i="28"/>
  <c r="AA16" i="28"/>
  <c r="Z7" i="34"/>
  <c r="Y63" i="34"/>
  <c r="Y27" i="34"/>
  <c r="Y75" i="28"/>
  <c r="Z19" i="28"/>
  <c r="AA72" i="34"/>
  <c r="AB16" i="34"/>
  <c r="AB20" i="7"/>
  <c r="AA69" i="7"/>
  <c r="AA68" i="28"/>
  <c r="AB12" i="28"/>
  <c r="AC16" i="37"/>
  <c r="AB67" i="37"/>
  <c r="AC19" i="37"/>
  <c r="AB70" i="37"/>
  <c r="Z69" i="28"/>
  <c r="AA13" i="28"/>
  <c r="AA6" i="28"/>
  <c r="Z62" i="28"/>
  <c r="Z8" i="34"/>
  <c r="Y64" i="34"/>
  <c r="AA77" i="34"/>
  <c r="AB21" i="34"/>
  <c r="Z8" i="28"/>
  <c r="Y64" i="28"/>
  <c r="AA78" i="28"/>
  <c r="AB22" i="28"/>
  <c r="Z17" i="28"/>
  <c r="Y73" i="28"/>
  <c r="AA21" i="28"/>
  <c r="Z77" i="28"/>
  <c r="AD73" i="7"/>
  <c r="AD75" i="7"/>
  <c r="AE54" i="7"/>
  <c r="AD68" i="7"/>
  <c r="AD74" i="7"/>
  <c r="AD65" i="7"/>
  <c r="AD62" i="7"/>
  <c r="AD70" i="7"/>
  <c r="AD64" i="7"/>
  <c r="AD58" i="7"/>
  <c r="AD60" i="7"/>
  <c r="AD61" i="7"/>
  <c r="AD59" i="7"/>
  <c r="AD72" i="7"/>
  <c r="AD57" i="7"/>
  <c r="AD66" i="7"/>
  <c r="AD67" i="7"/>
  <c r="AD71" i="7"/>
  <c r="AB22" i="34"/>
  <c r="AA78" i="34"/>
  <c r="AA19" i="34"/>
  <c r="Z75" i="34"/>
  <c r="AA20" i="34"/>
  <c r="Z76" i="34"/>
  <c r="AA23" i="28"/>
  <c r="Z79" i="28"/>
  <c r="Z67" i="28"/>
  <c r="AA11" i="28"/>
  <c r="AA33" i="7"/>
  <c r="Z78" i="7"/>
  <c r="Z26" i="28" s="1"/>
  <c r="Z17" i="34"/>
  <c r="Y73" i="34"/>
  <c r="AB63" i="7"/>
  <c r="AC10" i="7"/>
  <c r="AB16" i="7"/>
  <c r="AC14" i="37"/>
  <c r="AB65" i="37"/>
  <c r="AB32" i="32"/>
  <c r="AA77" i="32"/>
  <c r="AA25" i="34" s="1"/>
  <c r="AC56" i="37"/>
  <c r="AD5" i="37"/>
  <c r="AA23" i="34"/>
  <c r="Z79" i="34"/>
  <c r="AK32" i="35"/>
  <c r="AJ34" i="35"/>
  <c r="AJ36" i="35" s="1"/>
  <c r="AB62" i="34"/>
  <c r="AC6" i="34"/>
  <c r="Z7" i="28"/>
  <c r="Y63" i="28"/>
  <c r="AB20" i="32"/>
  <c r="AA69" i="32"/>
  <c r="AB14" i="34"/>
  <c r="AA70" i="34"/>
  <c r="AD61" i="34"/>
  <c r="AB60" i="37"/>
  <c r="AC9" i="37"/>
  <c r="AB13" i="34"/>
  <c r="AA69" i="34"/>
  <c r="AB7" i="37"/>
  <c r="AA58" i="37"/>
  <c r="AA22" i="37"/>
  <c r="AD13" i="37"/>
  <c r="AC64" i="37"/>
  <c r="AD9" i="34"/>
  <c r="AC65" i="34"/>
  <c r="AA67" i="34"/>
  <c r="AB11" i="34"/>
  <c r="AB15" i="34"/>
  <c r="AA71" i="34"/>
  <c r="AA65" i="28"/>
  <c r="AB9" i="28"/>
  <c r="Z35" i="32"/>
  <c r="Z45" i="32" s="1"/>
  <c r="AE63" i="37" l="1"/>
  <c r="AF12" i="37"/>
  <c r="AK60" i="35"/>
  <c r="AK25" i="35"/>
  <c r="AL19" i="35"/>
  <c r="AA73" i="37"/>
  <c r="AD10" i="37"/>
  <c r="AC61" i="37"/>
  <c r="Y83" i="28"/>
  <c r="AF11" i="37"/>
  <c r="AE62" i="37"/>
  <c r="AD17" i="37"/>
  <c r="AC68" i="37"/>
  <c r="AE21" i="37"/>
  <c r="AD72" i="37"/>
  <c r="AD6" i="37"/>
  <c r="AC57" i="37"/>
  <c r="AD8" i="37"/>
  <c r="AC59" i="37"/>
  <c r="AA80" i="34"/>
  <c r="AA81" i="34"/>
  <c r="Z82" i="28"/>
  <c r="Z82" i="34"/>
  <c r="AE61" i="34"/>
  <c r="AA17" i="28"/>
  <c r="Z73" i="28"/>
  <c r="AA80" i="28"/>
  <c r="AB71" i="34"/>
  <c r="AC15" i="34"/>
  <c r="AC13" i="34"/>
  <c r="AB69" i="34"/>
  <c r="Z63" i="28"/>
  <c r="AA7" i="28"/>
  <c r="AC32" i="32"/>
  <c r="AB77" i="32"/>
  <c r="AB25" i="34" s="1"/>
  <c r="AB6" i="28"/>
  <c r="AA62" i="28"/>
  <c r="AA72" i="28"/>
  <c r="AB16" i="28"/>
  <c r="AD20" i="37"/>
  <c r="AC71" i="37"/>
  <c r="Z81" i="28"/>
  <c r="AD69" i="37"/>
  <c r="AE18" i="37"/>
  <c r="AB67" i="34"/>
  <c r="AC11" i="34"/>
  <c r="AC22" i="28"/>
  <c r="AB78" i="28"/>
  <c r="AF41" i="32"/>
  <c r="AC16" i="7"/>
  <c r="AC63" i="7"/>
  <c r="AD10" i="7"/>
  <c r="AA76" i="34"/>
  <c r="AB20" i="34"/>
  <c r="AD19" i="37"/>
  <c r="AC70" i="37"/>
  <c r="AF60" i="32"/>
  <c r="AG54" i="32"/>
  <c r="AF66" i="32"/>
  <c r="AF65" i="32"/>
  <c r="AF71" i="32"/>
  <c r="AF72" i="32"/>
  <c r="AF75" i="32"/>
  <c r="AF73" i="32"/>
  <c r="AF67" i="32"/>
  <c r="AF70" i="32"/>
  <c r="AF58" i="32"/>
  <c r="AF57" i="32"/>
  <c r="AF5" i="34" s="1"/>
  <c r="AF62" i="32"/>
  <c r="AF61" i="32"/>
  <c r="AF59" i="32"/>
  <c r="AF64" i="32"/>
  <c r="AF68" i="32"/>
  <c r="AF74" i="32"/>
  <c r="AL32" i="35"/>
  <c r="AK34" i="35"/>
  <c r="AK36" i="35" s="1"/>
  <c r="Z64" i="28"/>
  <c r="AA8" i="28"/>
  <c r="AC31" i="32"/>
  <c r="AB76" i="32"/>
  <c r="AB24" i="34" s="1"/>
  <c r="AC31" i="7"/>
  <c r="AB76" i="7"/>
  <c r="AB24" i="28" s="1"/>
  <c r="AA69" i="28"/>
  <c r="AB13" i="28"/>
  <c r="AB66" i="28"/>
  <c r="AC10" i="28"/>
  <c r="AC21" i="34"/>
  <c r="AB77" i="34"/>
  <c r="AC67" i="37"/>
  <c r="AD16" i="37"/>
  <c r="AB66" i="37"/>
  <c r="AC15" i="37"/>
  <c r="AM15" i="35"/>
  <c r="AM54" i="35"/>
  <c r="AN9" i="35"/>
  <c r="AD63" i="32"/>
  <c r="AE10" i="32"/>
  <c r="AD16" i="32"/>
  <c r="AB74" i="34"/>
  <c r="AC18" i="34"/>
  <c r="AB18" i="28"/>
  <c r="AA74" i="28"/>
  <c r="AC65" i="37"/>
  <c r="AD14" i="37"/>
  <c r="AB19" i="34"/>
  <c r="AA75" i="34"/>
  <c r="AD64" i="37"/>
  <c r="AE13" i="37"/>
  <c r="AB70" i="34"/>
  <c r="AC14" i="34"/>
  <c r="AB23" i="34"/>
  <c r="AA79" i="34"/>
  <c r="Z73" i="34"/>
  <c r="AA17" i="34"/>
  <c r="AE58" i="7"/>
  <c r="AE66" i="7"/>
  <c r="AE71" i="7"/>
  <c r="AF54" i="7"/>
  <c r="AE68" i="7"/>
  <c r="AE65" i="7"/>
  <c r="AE67" i="7"/>
  <c r="AE75" i="7"/>
  <c r="AE64" i="7"/>
  <c r="AE60" i="7"/>
  <c r="AE62" i="7"/>
  <c r="AE57" i="7"/>
  <c r="AE72" i="7"/>
  <c r="AE74" i="7"/>
  <c r="AE61" i="7"/>
  <c r="AE70" i="7"/>
  <c r="AE59" i="7"/>
  <c r="AE73" i="7"/>
  <c r="AB68" i="28"/>
  <c r="AC12" i="28"/>
  <c r="AA19" i="28"/>
  <c r="Z75" i="28"/>
  <c r="AC20" i="7"/>
  <c r="AB69" i="7"/>
  <c r="AD56" i="37"/>
  <c r="AE5" i="37"/>
  <c r="AB78" i="34"/>
  <c r="AC22" i="34"/>
  <c r="AA76" i="28"/>
  <c r="AB20" i="28"/>
  <c r="AA79" i="28"/>
  <c r="AB23" i="28"/>
  <c r="AB66" i="34"/>
  <c r="AC10" i="34"/>
  <c r="AA8" i="34"/>
  <c r="Z64" i="34"/>
  <c r="AB33" i="32"/>
  <c r="AA78" i="32"/>
  <c r="AA26" i="34" s="1"/>
  <c r="AB32" i="7"/>
  <c r="AA77" i="7"/>
  <c r="AA25" i="28" s="1"/>
  <c r="AD6" i="34"/>
  <c r="AC62" i="34"/>
  <c r="AC9" i="28"/>
  <c r="AB65" i="28"/>
  <c r="AB33" i="7"/>
  <c r="AA78" i="7"/>
  <c r="AA26" i="28" s="1"/>
  <c r="AC20" i="32"/>
  <c r="AB69" i="32"/>
  <c r="AB11" i="28"/>
  <c r="AA67" i="28"/>
  <c r="Z27" i="28"/>
  <c r="Y83" i="34"/>
  <c r="AB14" i="28"/>
  <c r="AA70" i="28"/>
  <c r="AC43" i="7"/>
  <c r="AD9" i="37"/>
  <c r="AC60" i="37"/>
  <c r="AB72" i="34"/>
  <c r="AC16" i="34"/>
  <c r="AD5" i="28"/>
  <c r="AC61" i="28"/>
  <c r="AD65" i="34"/>
  <c r="AE9" i="34"/>
  <c r="AB58" i="37"/>
  <c r="AC7" i="37"/>
  <c r="AB22" i="37"/>
  <c r="AA77" i="28"/>
  <c r="AB21" i="28"/>
  <c r="Z63" i="34"/>
  <c r="AA7" i="34"/>
  <c r="Z27" i="34"/>
  <c r="AC68" i="34"/>
  <c r="AD12" i="34"/>
  <c r="AB71" i="28"/>
  <c r="AC15" i="28"/>
  <c r="AE41" i="7"/>
  <c r="AL60" i="35" l="1"/>
  <c r="AL25" i="35"/>
  <c r="AM19" i="35"/>
  <c r="AF63" i="37"/>
  <c r="AG12" i="37"/>
  <c r="AB35" i="7"/>
  <c r="AB45" i="7" s="1"/>
  <c r="AD61" i="37"/>
  <c r="AE10" i="37"/>
  <c r="Z83" i="28"/>
  <c r="AD59" i="37"/>
  <c r="AE8" i="37"/>
  <c r="AE6" i="37"/>
  <c r="AD57" i="37"/>
  <c r="AF21" i="37"/>
  <c r="AE72" i="37"/>
  <c r="AB73" i="37"/>
  <c r="AD68" i="37"/>
  <c r="AE17" i="37"/>
  <c r="AF62" i="37"/>
  <c r="AG11" i="37"/>
  <c r="AA82" i="28"/>
  <c r="AF61" i="34"/>
  <c r="AB81" i="34"/>
  <c r="AB80" i="34"/>
  <c r="AB80" i="28"/>
  <c r="AA82" i="34"/>
  <c r="AD68" i="34"/>
  <c r="AE12" i="34"/>
  <c r="AC14" i="28"/>
  <c r="AB70" i="28"/>
  <c r="AE56" i="37"/>
  <c r="AF5" i="37"/>
  <c r="AB79" i="34"/>
  <c r="AC23" i="34"/>
  <c r="AE16" i="37"/>
  <c r="AD67" i="37"/>
  <c r="AD31" i="32"/>
  <c r="AC76" i="32"/>
  <c r="AC24" i="34" s="1"/>
  <c r="AD32" i="32"/>
  <c r="AC77" i="32"/>
  <c r="AC25" i="34" s="1"/>
  <c r="AD14" i="34"/>
  <c r="AC70" i="34"/>
  <c r="AB8" i="28"/>
  <c r="AA64" i="28"/>
  <c r="AE20" i="37"/>
  <c r="AD71" i="37"/>
  <c r="AB7" i="28"/>
  <c r="AA63" i="28"/>
  <c r="AE10" i="7"/>
  <c r="AE43" i="7" s="1"/>
  <c r="AD63" i="7"/>
  <c r="AD16" i="7"/>
  <c r="AC74" i="34"/>
  <c r="AD18" i="34"/>
  <c r="AC65" i="28"/>
  <c r="AD9" i="28"/>
  <c r="AE63" i="32"/>
  <c r="AF10" i="32"/>
  <c r="AF43" i="32" s="1"/>
  <c r="AE16" i="32"/>
  <c r="AG41" i="32"/>
  <c r="AD22" i="34"/>
  <c r="AC78" i="34"/>
  <c r="AA64" i="34"/>
  <c r="AB8" i="34"/>
  <c r="AF13" i="37"/>
  <c r="AE64" i="37"/>
  <c r="AC77" i="34"/>
  <c r="AD21" i="34"/>
  <c r="AE43" i="32"/>
  <c r="B51" i="32" s="1"/>
  <c r="AC18" i="28"/>
  <c r="AB74" i="28"/>
  <c r="AA73" i="28"/>
  <c r="AB17" i="28"/>
  <c r="AE65" i="34"/>
  <c r="AF9" i="34"/>
  <c r="AC33" i="32"/>
  <c r="AC35" i="32" s="1"/>
  <c r="AC45" i="32" s="1"/>
  <c r="AB78" i="32"/>
  <c r="AB26" i="34" s="1"/>
  <c r="AE5" i="28"/>
  <c r="AD61" i="28"/>
  <c r="AF75" i="7"/>
  <c r="AF71" i="7"/>
  <c r="AF72" i="7"/>
  <c r="AF60" i="7"/>
  <c r="AF62" i="7"/>
  <c r="AF61" i="7"/>
  <c r="AF68" i="7"/>
  <c r="AF67" i="7"/>
  <c r="AF65" i="7"/>
  <c r="AF73" i="7"/>
  <c r="AF74" i="7"/>
  <c r="AG54" i="7"/>
  <c r="AF70" i="7"/>
  <c r="AF57" i="7"/>
  <c r="AF66" i="7"/>
  <c r="AF58" i="7"/>
  <c r="AF64" i="7"/>
  <c r="AF59" i="7"/>
  <c r="AN15" i="35"/>
  <c r="AO9" i="35"/>
  <c r="AN54" i="35"/>
  <c r="AG58" i="32"/>
  <c r="AG71" i="32"/>
  <c r="AG57" i="32"/>
  <c r="AG5" i="34" s="1"/>
  <c r="AG68" i="32"/>
  <c r="AG62" i="32"/>
  <c r="AG60" i="32"/>
  <c r="AG59" i="32"/>
  <c r="AG67" i="32"/>
  <c r="AG64" i="32"/>
  <c r="AG70" i="32"/>
  <c r="AG72" i="32"/>
  <c r="AG65" i="32"/>
  <c r="AH54" i="32"/>
  <c r="AG75" i="32"/>
  <c r="AG61" i="32"/>
  <c r="AG73" i="32"/>
  <c r="AG74" i="32"/>
  <c r="AG66" i="32"/>
  <c r="AD13" i="34"/>
  <c r="AC69" i="34"/>
  <c r="AD20" i="7"/>
  <c r="AC69" i="7"/>
  <c r="AD22" i="28"/>
  <c r="AC78" i="28"/>
  <c r="AD15" i="34"/>
  <c r="AC71" i="34"/>
  <c r="Z83" i="34"/>
  <c r="AC72" i="34"/>
  <c r="AD16" i="34"/>
  <c r="AC66" i="34"/>
  <c r="AD10" i="34"/>
  <c r="AD10" i="28"/>
  <c r="AC66" i="28"/>
  <c r="AM32" i="35"/>
  <c r="AL34" i="35"/>
  <c r="AL36" i="35" s="1"/>
  <c r="AF41" i="7"/>
  <c r="AB77" i="28"/>
  <c r="AC21" i="28"/>
  <c r="AB67" i="28"/>
  <c r="AC11" i="28"/>
  <c r="AE6" i="34"/>
  <c r="AD62" i="34"/>
  <c r="AC23" i="28"/>
  <c r="AB79" i="28"/>
  <c r="AB75" i="34"/>
  <c r="AC19" i="34"/>
  <c r="AC13" i="28"/>
  <c r="AB69" i="28"/>
  <c r="AD11" i="34"/>
  <c r="AC67" i="34"/>
  <c r="AC16" i="28"/>
  <c r="AB72" i="28"/>
  <c r="AA81" i="28"/>
  <c r="AD43" i="7"/>
  <c r="AE14" i="37"/>
  <c r="AD65" i="37"/>
  <c r="AE19" i="37"/>
  <c r="AD70" i="37"/>
  <c r="AB35" i="32"/>
  <c r="AB45" i="32" s="1"/>
  <c r="AB76" i="28"/>
  <c r="AC20" i="28"/>
  <c r="AA75" i="28"/>
  <c r="AB19" i="28"/>
  <c r="AB76" i="34"/>
  <c r="AC20" i="34"/>
  <c r="AE69" i="37"/>
  <c r="AF18" i="37"/>
  <c r="AA27" i="28"/>
  <c r="AC6" i="28"/>
  <c r="AB62" i="28"/>
  <c r="AC33" i="7"/>
  <c r="AB78" i="7"/>
  <c r="AB26" i="28" s="1"/>
  <c r="AB7" i="34"/>
  <c r="AA63" i="34"/>
  <c r="AA27" i="34"/>
  <c r="AD60" i="37"/>
  <c r="AE9" i="37"/>
  <c r="AC66" i="37"/>
  <c r="AD15" i="37"/>
  <c r="AD15" i="28"/>
  <c r="AC71" i="28"/>
  <c r="AD7" i="37"/>
  <c r="AC58" i="37"/>
  <c r="AC22" i="37"/>
  <c r="AD20" i="32"/>
  <c r="AC69" i="32"/>
  <c r="AC32" i="7"/>
  <c r="AB77" i="7"/>
  <c r="AB25" i="28" s="1"/>
  <c r="AC68" i="28"/>
  <c r="AD12" i="28"/>
  <c r="AB17" i="34"/>
  <c r="AA73" i="34"/>
  <c r="AD31" i="7"/>
  <c r="AC76" i="7"/>
  <c r="AC24" i="28" s="1"/>
  <c r="AH12" i="37" l="1"/>
  <c r="AG63" i="37"/>
  <c r="AM60" i="35"/>
  <c r="AM25" i="35"/>
  <c r="AN19" i="35"/>
  <c r="AA83" i="28"/>
  <c r="AF10" i="37"/>
  <c r="AE61" i="37"/>
  <c r="B51" i="7"/>
  <c r="B15" i="13" s="1"/>
  <c r="B45" i="13" s="1"/>
  <c r="F10" i="13"/>
  <c r="F40" i="13" s="1"/>
  <c r="AH11" i="37"/>
  <c r="AG62" i="37"/>
  <c r="AF17" i="37"/>
  <c r="AE68" i="37"/>
  <c r="AG21" i="37"/>
  <c r="AF72" i="37"/>
  <c r="AF6" i="37"/>
  <c r="AE57" i="37"/>
  <c r="AF8" i="37"/>
  <c r="AE59" i="37"/>
  <c r="AG61" i="34"/>
  <c r="AB82" i="34"/>
  <c r="AC81" i="34"/>
  <c r="AB82" i="28"/>
  <c r="AB81" i="28"/>
  <c r="AC80" i="28"/>
  <c r="AD71" i="34"/>
  <c r="AE15" i="34"/>
  <c r="AD19" i="34"/>
  <c r="AC75" i="34"/>
  <c r="AD32" i="7"/>
  <c r="AC77" i="7"/>
  <c r="AC25" i="28" s="1"/>
  <c r="AG18" i="37"/>
  <c r="AF69" i="37"/>
  <c r="AF14" i="37"/>
  <c r="AE65" i="37"/>
  <c r="AD78" i="34"/>
  <c r="AE22" i="34"/>
  <c r="AD70" i="34"/>
  <c r="AE14" i="34"/>
  <c r="AG41" i="7"/>
  <c r="AF9" i="37"/>
  <c r="AE60" i="37"/>
  <c r="AM34" i="35"/>
  <c r="AM36" i="35" s="1"/>
  <c r="AN32" i="35"/>
  <c r="F15" i="13"/>
  <c r="F45" i="13" s="1"/>
  <c r="AH41" i="32"/>
  <c r="AE63" i="7"/>
  <c r="AF10" i="7"/>
  <c r="AF43" i="7" s="1"/>
  <c r="B10" i="13" s="1"/>
  <c r="B40" i="13" s="1"/>
  <c r="AE16" i="7"/>
  <c r="AF56" i="37"/>
  <c r="AG5" i="37"/>
  <c r="AC76" i="34"/>
  <c r="AD20" i="34"/>
  <c r="AD23" i="28"/>
  <c r="AC79" i="28"/>
  <c r="AD78" i="28"/>
  <c r="AE22" i="28"/>
  <c r="AD33" i="32"/>
  <c r="AD35" i="32" s="1"/>
  <c r="AD45" i="32" s="1"/>
  <c r="AC78" i="32"/>
  <c r="AC26" i="34" s="1"/>
  <c r="AE21" i="34"/>
  <c r="AD77" i="34"/>
  <c r="AC80" i="34"/>
  <c r="AE15" i="37"/>
  <c r="AD66" i="37"/>
  <c r="AE20" i="32"/>
  <c r="AD69" i="32"/>
  <c r="AE10" i="28"/>
  <c r="AD66" i="28"/>
  <c r="AF65" i="34"/>
  <c r="AG9" i="34"/>
  <c r="B49" i="32"/>
  <c r="AC7" i="28"/>
  <c r="AB63" i="28"/>
  <c r="AE32" i="32"/>
  <c r="AD77" i="32"/>
  <c r="AD25" i="34" s="1"/>
  <c r="AC70" i="28"/>
  <c r="AD14" i="28"/>
  <c r="AF19" i="37"/>
  <c r="AE70" i="37"/>
  <c r="AF5" i="28"/>
  <c r="AE61" i="28"/>
  <c r="AA83" i="34"/>
  <c r="AC35" i="7"/>
  <c r="AC45" i="7" s="1"/>
  <c r="AG10" i="32"/>
  <c r="AG43" i="32" s="1"/>
  <c r="AF16" i="32"/>
  <c r="AF63" i="32"/>
  <c r="AE68" i="34"/>
  <c r="AF12" i="34"/>
  <c r="AB63" i="34"/>
  <c r="AC7" i="34"/>
  <c r="AB27" i="34"/>
  <c r="AC72" i="28"/>
  <c r="AD16" i="28"/>
  <c r="AE62" i="34"/>
  <c r="AF6" i="34"/>
  <c r="AE20" i="7"/>
  <c r="AD69" i="7"/>
  <c r="AH67" i="32"/>
  <c r="AH72" i="32"/>
  <c r="AH73" i="32"/>
  <c r="AI54" i="32"/>
  <c r="AH70" i="32"/>
  <c r="AH74" i="32"/>
  <c r="AH58" i="32"/>
  <c r="AH61" i="32"/>
  <c r="AH62" i="32"/>
  <c r="AH59" i="32"/>
  <c r="AH64" i="32"/>
  <c r="AH65" i="32"/>
  <c r="AH71" i="32"/>
  <c r="AH68" i="32"/>
  <c r="AH66" i="32"/>
  <c r="AH57" i="32"/>
  <c r="AH5" i="34" s="1"/>
  <c r="AH75" i="32"/>
  <c r="AH60" i="32"/>
  <c r="AB73" i="28"/>
  <c r="AC17" i="28"/>
  <c r="AG13" i="37"/>
  <c r="AF64" i="37"/>
  <c r="AE71" i="37"/>
  <c r="AF20" i="37"/>
  <c r="AC19" i="28"/>
  <c r="AB75" i="28"/>
  <c r="AE10" i="34"/>
  <c r="AD66" i="34"/>
  <c r="AC73" i="37"/>
  <c r="AE31" i="7"/>
  <c r="AD76" i="7"/>
  <c r="AD24" i="28" s="1"/>
  <c r="AD58" i="37"/>
  <c r="AE7" i="37"/>
  <c r="AD22" i="37"/>
  <c r="AD20" i="28"/>
  <c r="AC76" i="28"/>
  <c r="AC67" i="28"/>
  <c r="AD11" i="28"/>
  <c r="AD72" i="34"/>
  <c r="AE16" i="34"/>
  <c r="AG72" i="7"/>
  <c r="AG67" i="7"/>
  <c r="AG70" i="7"/>
  <c r="AG60" i="7"/>
  <c r="AG62" i="7"/>
  <c r="AH54" i="7"/>
  <c r="AG64" i="7"/>
  <c r="AG65" i="7"/>
  <c r="AG71" i="7"/>
  <c r="AG66" i="7"/>
  <c r="AG74" i="7"/>
  <c r="AG58" i="7"/>
  <c r="AG61" i="7"/>
  <c r="AG59" i="7"/>
  <c r="AG68" i="7"/>
  <c r="AG73" i="7"/>
  <c r="AG75" i="7"/>
  <c r="AG57" i="7"/>
  <c r="AB64" i="34"/>
  <c r="AC8" i="34"/>
  <c r="AE9" i="28"/>
  <c r="AD65" i="28"/>
  <c r="AE31" i="32"/>
  <c r="AD76" i="32"/>
  <c r="AD24" i="34" s="1"/>
  <c r="AC62" i="28"/>
  <c r="AD6" i="28"/>
  <c r="AD21" i="28"/>
  <c r="AC77" i="28"/>
  <c r="AE13" i="34"/>
  <c r="AD69" i="34"/>
  <c r="AP9" i="35"/>
  <c r="AO15" i="35"/>
  <c r="AO54" i="35"/>
  <c r="AC74" i="28"/>
  <c r="AD18" i="28"/>
  <c r="AF16" i="37"/>
  <c r="AE67" i="37"/>
  <c r="AD33" i="7"/>
  <c r="AC78" i="7"/>
  <c r="AC26" i="28" s="1"/>
  <c r="AD67" i="34"/>
  <c r="AE11" i="34"/>
  <c r="AB64" i="28"/>
  <c r="AC8" i="28"/>
  <c r="AC17" i="34"/>
  <c r="AB73" i="34"/>
  <c r="AE15" i="28"/>
  <c r="AD71" i="28"/>
  <c r="AB27" i="28"/>
  <c r="AE12" i="28"/>
  <c r="AD68" i="28"/>
  <c r="AC69" i="28"/>
  <c r="AD13" i="28"/>
  <c r="AD74" i="34"/>
  <c r="AE18" i="34"/>
  <c r="AD23" i="34"/>
  <c r="AC79" i="34"/>
  <c r="AN25" i="35" l="1"/>
  <c r="AO19" i="35"/>
  <c r="AN60" i="35"/>
  <c r="AH63" i="37"/>
  <c r="AI12" i="37"/>
  <c r="AD73" i="37"/>
  <c r="AB83" i="28"/>
  <c r="AB83" i="34"/>
  <c r="AF61" i="37"/>
  <c r="AG10" i="37"/>
  <c r="AG8" i="37"/>
  <c r="AF59" i="37"/>
  <c r="AG6" i="37"/>
  <c r="AF57" i="37"/>
  <c r="AG72" i="37"/>
  <c r="AH21" i="37"/>
  <c r="AG17" i="37"/>
  <c r="AF68" i="37"/>
  <c r="AH62" i="37"/>
  <c r="AI11" i="37"/>
  <c r="AH61" i="34"/>
  <c r="AC82" i="34"/>
  <c r="AD80" i="34"/>
  <c r="AC82" i="28"/>
  <c r="AC27" i="28"/>
  <c r="AD80" i="28"/>
  <c r="AE67" i="34"/>
  <c r="AF11" i="34"/>
  <c r="AD74" i="28"/>
  <c r="AE18" i="28"/>
  <c r="AE20" i="28"/>
  <c r="AD76" i="28"/>
  <c r="AH60" i="7"/>
  <c r="AH67" i="7"/>
  <c r="AH68" i="7"/>
  <c r="AH61" i="7"/>
  <c r="AH58" i="7"/>
  <c r="AH70" i="7"/>
  <c r="AH64" i="7"/>
  <c r="AH74" i="7"/>
  <c r="AH59" i="7"/>
  <c r="AH65" i="7"/>
  <c r="AH73" i="7"/>
  <c r="AH57" i="7"/>
  <c r="AH71" i="7"/>
  <c r="AI54" i="7"/>
  <c r="AH62" i="7"/>
  <c r="AH72" i="7"/>
  <c r="AH66" i="7"/>
  <c r="AH75" i="7"/>
  <c r="AC81" i="28"/>
  <c r="AF7" i="37"/>
  <c r="AE58" i="37"/>
  <c r="AE22" i="37"/>
  <c r="AD7" i="34"/>
  <c r="AC63" i="34"/>
  <c r="AC27" i="34"/>
  <c r="AF61" i="28"/>
  <c r="AG5" i="28"/>
  <c r="AE77" i="34"/>
  <c r="AF21" i="34"/>
  <c r="AF60" i="37"/>
  <c r="AG9" i="37"/>
  <c r="AI65" i="32"/>
  <c r="AI68" i="32"/>
  <c r="AI70" i="32"/>
  <c r="AI73" i="32"/>
  <c r="AI66" i="32"/>
  <c r="AI60" i="32"/>
  <c r="AI57" i="32"/>
  <c r="AI5" i="34" s="1"/>
  <c r="AI58" i="32"/>
  <c r="AI61" i="32"/>
  <c r="AI62" i="32"/>
  <c r="AI74" i="32"/>
  <c r="AI64" i="32"/>
  <c r="AI71" i="32"/>
  <c r="AI67" i="32"/>
  <c r="AI75" i="32"/>
  <c r="AJ54" i="32"/>
  <c r="AI59" i="32"/>
  <c r="AI72" i="32"/>
  <c r="AD79" i="34"/>
  <c r="AE23" i="34"/>
  <c r="AE68" i="28"/>
  <c r="AF12" i="28"/>
  <c r="AE33" i="7"/>
  <c r="AD78" i="7"/>
  <c r="AD26" i="28" s="1"/>
  <c r="AH41" i="7"/>
  <c r="AG69" i="37"/>
  <c r="AH18" i="37"/>
  <c r="AH9" i="34"/>
  <c r="AG65" i="34"/>
  <c r="AE74" i="34"/>
  <c r="AF18" i="34"/>
  <c r="AP54" i="35"/>
  <c r="AP15" i="35"/>
  <c r="AQ9" i="35"/>
  <c r="AF31" i="32"/>
  <c r="AE76" i="32"/>
  <c r="AE24" i="34" s="1"/>
  <c r="AH13" i="37"/>
  <c r="AG64" i="37"/>
  <c r="AF68" i="34"/>
  <c r="AG12" i="34"/>
  <c r="AF70" i="37"/>
  <c r="AG19" i="37"/>
  <c r="AE66" i="28"/>
  <c r="AF10" i="28"/>
  <c r="AE33" i="32"/>
  <c r="AE35" i="32" s="1"/>
  <c r="AD78" i="32"/>
  <c r="AD26" i="34" s="1"/>
  <c r="B49" i="7"/>
  <c r="AF65" i="37"/>
  <c r="AG14" i="37"/>
  <c r="AF31" i="7"/>
  <c r="AE76" i="7"/>
  <c r="AE24" i="28" s="1"/>
  <c r="AC73" i="28"/>
  <c r="AD17" i="28"/>
  <c r="AD70" i="28"/>
  <c r="AE14" i="28"/>
  <c r="AF22" i="28"/>
  <c r="AE78" i="28"/>
  <c r="AF16" i="7"/>
  <c r="AG10" i="7"/>
  <c r="AG43" i="7" s="1"/>
  <c r="AF63" i="7"/>
  <c r="AE70" i="34"/>
  <c r="AF14" i="34"/>
  <c r="AE32" i="7"/>
  <c r="AD77" i="7"/>
  <c r="AD25" i="28" s="1"/>
  <c r="AE6" i="28"/>
  <c r="AD62" i="28"/>
  <c r="AE71" i="28"/>
  <c r="AF15" i="28"/>
  <c r="AE69" i="34"/>
  <c r="AF13" i="34"/>
  <c r="AD35" i="7"/>
  <c r="AD45" i="7" s="1"/>
  <c r="AC64" i="34"/>
  <c r="AD8" i="34"/>
  <c r="AF16" i="34"/>
  <c r="AE72" i="34"/>
  <c r="AF20" i="7"/>
  <c r="AE69" i="7"/>
  <c r="AF20" i="32"/>
  <c r="AE69" i="32"/>
  <c r="AF9" i="28"/>
  <c r="AE65" i="28"/>
  <c r="AD81" i="34"/>
  <c r="AD17" i="34"/>
  <c r="AC73" i="34"/>
  <c r="AD77" i="28"/>
  <c r="AE21" i="28"/>
  <c r="AE66" i="34"/>
  <c r="AF10" i="34"/>
  <c r="AG63" i="32"/>
  <c r="AH10" i="32"/>
  <c r="AG16" i="32"/>
  <c r="AF32" i="32"/>
  <c r="AE77" i="32"/>
  <c r="AE25" i="34" s="1"/>
  <c r="AD79" i="28"/>
  <c r="AE23" i="28"/>
  <c r="AI41" i="32"/>
  <c r="AE78" i="34"/>
  <c r="AF22" i="34"/>
  <c r="AD75" i="34"/>
  <c r="AE19" i="34"/>
  <c r="AD67" i="28"/>
  <c r="AE11" i="28"/>
  <c r="AE66" i="37"/>
  <c r="AF15" i="37"/>
  <c r="AE71" i="34"/>
  <c r="AF15" i="34"/>
  <c r="AD8" i="28"/>
  <c r="AC64" i="28"/>
  <c r="AD19" i="28"/>
  <c r="AC75" i="28"/>
  <c r="AC63" i="28"/>
  <c r="AD7" i="28"/>
  <c r="AG20" i="37"/>
  <c r="AF71" i="37"/>
  <c r="AG6" i="34"/>
  <c r="AF62" i="34"/>
  <c r="AD76" i="34"/>
  <c r="AE20" i="34"/>
  <c r="AE13" i="28"/>
  <c r="AD69" i="28"/>
  <c r="AG16" i="37"/>
  <c r="AF67" i="37"/>
  <c r="AE16" i="28"/>
  <c r="AD72" i="28"/>
  <c r="F13" i="13"/>
  <c r="AH5" i="37"/>
  <c r="AG56" i="37"/>
  <c r="AN34" i="35"/>
  <c r="AN36" i="35" s="1"/>
  <c r="AO32" i="35"/>
  <c r="AJ12" i="37" l="1"/>
  <c r="AI63" i="37"/>
  <c r="AO25" i="35"/>
  <c r="AO60" i="35"/>
  <c r="AP19" i="35"/>
  <c r="AH10" i="37"/>
  <c r="AG61" i="37"/>
  <c r="AE35" i="7"/>
  <c r="AE73" i="37"/>
  <c r="AC83" i="28"/>
  <c r="AI62" i="37"/>
  <c r="AJ11" i="37"/>
  <c r="AG68" i="37"/>
  <c r="AH17" i="37"/>
  <c r="AH72" i="37"/>
  <c r="AI21" i="37"/>
  <c r="AH6" i="37"/>
  <c r="AG57" i="37"/>
  <c r="AH8" i="37"/>
  <c r="AG59" i="37"/>
  <c r="AD82" i="28"/>
  <c r="AD82" i="34"/>
  <c r="AI61" i="34"/>
  <c r="AE81" i="34"/>
  <c r="AD81" i="28"/>
  <c r="B50" i="7"/>
  <c r="AE45" i="7"/>
  <c r="AE80" i="34"/>
  <c r="AF72" i="34"/>
  <c r="AG16" i="34"/>
  <c r="F43" i="13"/>
  <c r="AG10" i="34"/>
  <c r="AF66" i="34"/>
  <c r="AF70" i="34"/>
  <c r="AG14" i="34"/>
  <c r="AG31" i="7"/>
  <c r="AF76" i="7"/>
  <c r="AF24" i="28" s="1"/>
  <c r="AI67" i="7"/>
  <c r="AJ54" i="7"/>
  <c r="AI65" i="7"/>
  <c r="AI68" i="7"/>
  <c r="AI59" i="7"/>
  <c r="AI71" i="7"/>
  <c r="AI58" i="7"/>
  <c r="AI62" i="7"/>
  <c r="AI72" i="7"/>
  <c r="AI66" i="7"/>
  <c r="AI75" i="7"/>
  <c r="AI60" i="7"/>
  <c r="AI73" i="7"/>
  <c r="AI74" i="7"/>
  <c r="AI61" i="7"/>
  <c r="AI64" i="7"/>
  <c r="AI57" i="7"/>
  <c r="AI70" i="7"/>
  <c r="AE7" i="34"/>
  <c r="AD63" i="34"/>
  <c r="AD27" i="34"/>
  <c r="AG68" i="34"/>
  <c r="AH12" i="34"/>
  <c r="AH14" i="37"/>
  <c r="AG65" i="37"/>
  <c r="AH65" i="34"/>
  <c r="AI9" i="34"/>
  <c r="AG7" i="37"/>
  <c r="AF58" i="37"/>
  <c r="AF22" i="37"/>
  <c r="AF19" i="34"/>
  <c r="AE75" i="34"/>
  <c r="AE72" i="28"/>
  <c r="AF16" i="28"/>
  <c r="AE8" i="28"/>
  <c r="AD64" i="28"/>
  <c r="AF78" i="34"/>
  <c r="AG22" i="34"/>
  <c r="AG15" i="34"/>
  <c r="AF71" i="34"/>
  <c r="AE77" i="28"/>
  <c r="AF21" i="28"/>
  <c r="AF69" i="34"/>
  <c r="AG13" i="34"/>
  <c r="AI13" i="37"/>
  <c r="AH64" i="37"/>
  <c r="AI18" i="37"/>
  <c r="AH69" i="37"/>
  <c r="AG62" i="34"/>
  <c r="AH6" i="34"/>
  <c r="AJ41" i="32"/>
  <c r="B50" i="32"/>
  <c r="AE45" i="32"/>
  <c r="AG16" i="7"/>
  <c r="AH10" i="7"/>
  <c r="AG63" i="7"/>
  <c r="B13" i="13"/>
  <c r="AF77" i="34"/>
  <c r="AG21" i="34"/>
  <c r="AI10" i="32"/>
  <c r="AI43" i="32" s="1"/>
  <c r="AH63" i="32"/>
  <c r="AH16" i="32"/>
  <c r="AP32" i="35"/>
  <c r="AO34" i="35"/>
  <c r="AO36" i="35" s="1"/>
  <c r="AH20" i="37"/>
  <c r="AG71" i="37"/>
  <c r="AH43" i="32"/>
  <c r="AG20" i="32"/>
  <c r="AF69" i="32"/>
  <c r="AG31" i="32"/>
  <c r="AF76" i="32"/>
  <c r="AF24" i="34" s="1"/>
  <c r="AF13" i="28"/>
  <c r="AE69" i="28"/>
  <c r="AE79" i="28"/>
  <c r="AF23" i="28"/>
  <c r="AD73" i="34"/>
  <c r="AE17" i="34"/>
  <c r="AQ15" i="35"/>
  <c r="AQ54" i="35"/>
  <c r="AR9" i="35"/>
  <c r="AI41" i="7"/>
  <c r="AJ72" i="32"/>
  <c r="AJ62" i="32"/>
  <c r="AJ74" i="32"/>
  <c r="AJ67" i="32"/>
  <c r="AJ64" i="32"/>
  <c r="AK54" i="32"/>
  <c r="AJ65" i="32"/>
  <c r="AJ75" i="32"/>
  <c r="AJ66" i="32"/>
  <c r="AJ59" i="32"/>
  <c r="AJ68" i="32"/>
  <c r="AJ58" i="32"/>
  <c r="AJ71" i="32"/>
  <c r="AJ73" i="32"/>
  <c r="AJ60" i="32"/>
  <c r="AJ57" i="32"/>
  <c r="AJ5" i="34" s="1"/>
  <c r="AJ61" i="32"/>
  <c r="AJ70" i="32"/>
  <c r="AF20" i="28"/>
  <c r="AE76" i="28"/>
  <c r="AE80" i="28"/>
  <c r="AE8" i="34"/>
  <c r="AD64" i="34"/>
  <c r="AG15" i="37"/>
  <c r="AF66" i="37"/>
  <c r="AG15" i="28"/>
  <c r="AF71" i="28"/>
  <c r="AE76" i="34"/>
  <c r="AF20" i="34"/>
  <c r="AF11" i="28"/>
  <c r="AE67" i="28"/>
  <c r="AF78" i="28"/>
  <c r="AG22" i="28"/>
  <c r="AF33" i="32"/>
  <c r="AE78" i="32"/>
  <c r="AE26" i="34" s="1"/>
  <c r="AG61" i="28"/>
  <c r="AH5" i="28"/>
  <c r="AE74" i="28"/>
  <c r="AF18" i="28"/>
  <c r="AF74" i="34"/>
  <c r="AG18" i="34"/>
  <c r="AG60" i="37"/>
  <c r="AH9" i="37"/>
  <c r="AD63" i="28"/>
  <c r="AE7" i="28"/>
  <c r="AG20" i="7"/>
  <c r="AF69" i="7"/>
  <c r="AE70" i="28"/>
  <c r="AF14" i="28"/>
  <c r="AI5" i="37"/>
  <c r="AH56" i="37"/>
  <c r="AG32" i="32"/>
  <c r="AF77" i="32"/>
  <c r="AF25" i="34" s="1"/>
  <c r="AF33" i="7"/>
  <c r="AE78" i="7"/>
  <c r="AE26" i="28" s="1"/>
  <c r="AG11" i="34"/>
  <c r="AF67" i="34"/>
  <c r="AD75" i="28"/>
  <c r="AE19" i="28"/>
  <c r="AG9" i="28"/>
  <c r="AF65" i="28"/>
  <c r="AF32" i="7"/>
  <c r="AE77" i="7"/>
  <c r="AE25" i="28" s="1"/>
  <c r="AE79" i="34"/>
  <c r="AF23" i="34"/>
  <c r="AH16" i="37"/>
  <c r="AG67" i="37"/>
  <c r="AD27" i="28"/>
  <c r="AF66" i="28"/>
  <c r="AG10" i="28"/>
  <c r="AF6" i="28"/>
  <c r="AE62" i="28"/>
  <c r="AD73" i="28"/>
  <c r="AE17" i="28"/>
  <c r="AG70" i="37"/>
  <c r="AH19" i="37"/>
  <c r="AF68" i="28"/>
  <c r="AG12" i="28"/>
  <c r="AC83" i="34"/>
  <c r="AP60" i="35" l="1"/>
  <c r="AP25" i="35"/>
  <c r="AQ19" i="35"/>
  <c r="AJ63" i="37"/>
  <c r="AK12" i="37"/>
  <c r="AF35" i="7"/>
  <c r="B9" i="13" s="1"/>
  <c r="B39" i="13" s="1"/>
  <c r="AI10" i="37"/>
  <c r="AH61" i="37"/>
  <c r="AD83" i="28"/>
  <c r="AI8" i="37"/>
  <c r="AH59" i="37"/>
  <c r="AI6" i="37"/>
  <c r="AH57" i="37"/>
  <c r="AJ21" i="37"/>
  <c r="AI72" i="37"/>
  <c r="AH68" i="37"/>
  <c r="AI17" i="37"/>
  <c r="AK11" i="37"/>
  <c r="AJ62" i="37"/>
  <c r="AE81" i="28"/>
  <c r="AJ61" i="34"/>
  <c r="AE82" i="34"/>
  <c r="AE82" i="28"/>
  <c r="AF81" i="34"/>
  <c r="AF80" i="34"/>
  <c r="AG68" i="28"/>
  <c r="AH12" i="28"/>
  <c r="AE64" i="34"/>
  <c r="AF8" i="34"/>
  <c r="AI20" i="37"/>
  <c r="AH71" i="37"/>
  <c r="AH16" i="7"/>
  <c r="AH63" i="7"/>
  <c r="AI10" i="7"/>
  <c r="AI43" i="7" s="1"/>
  <c r="AI64" i="37"/>
  <c r="AJ13" i="37"/>
  <c r="AF8" i="28"/>
  <c r="AE64" i="28"/>
  <c r="AH10" i="34"/>
  <c r="AG66" i="34"/>
  <c r="AG69" i="34"/>
  <c r="AH13" i="34"/>
  <c r="AF72" i="28"/>
  <c r="AG16" i="28"/>
  <c r="AH65" i="37"/>
  <c r="AI14" i="37"/>
  <c r="B14" i="13"/>
  <c r="B44" i="13" s="1"/>
  <c r="AH60" i="37"/>
  <c r="AI9" i="37"/>
  <c r="AP34" i="35"/>
  <c r="AP36" i="35" s="1"/>
  <c r="AQ32" i="35"/>
  <c r="AH68" i="34"/>
  <c r="AI12" i="34"/>
  <c r="AH70" i="37"/>
  <c r="AI19" i="37"/>
  <c r="F14" i="13"/>
  <c r="B52" i="32"/>
  <c r="AG21" i="28"/>
  <c r="AF77" i="28"/>
  <c r="AJ64" i="7"/>
  <c r="AJ74" i="7"/>
  <c r="AJ66" i="7"/>
  <c r="AJ59" i="7"/>
  <c r="AJ70" i="7"/>
  <c r="AJ68" i="7"/>
  <c r="AJ67" i="7"/>
  <c r="AK54" i="7"/>
  <c r="AJ75" i="7"/>
  <c r="AJ71" i="7"/>
  <c r="AJ61" i="7"/>
  <c r="AJ65" i="7"/>
  <c r="AJ73" i="7"/>
  <c r="AJ62" i="7"/>
  <c r="AJ58" i="7"/>
  <c r="AJ57" i="7"/>
  <c r="AJ60" i="7"/>
  <c r="AJ72" i="7"/>
  <c r="AG33" i="32"/>
  <c r="AF78" i="32"/>
  <c r="AF26" i="34" s="1"/>
  <c r="B43" i="13"/>
  <c r="AF19" i="28"/>
  <c r="AE75" i="28"/>
  <c r="AF80" i="28"/>
  <c r="AH11" i="34"/>
  <c r="AG67" i="34"/>
  <c r="AF69" i="28"/>
  <c r="AG13" i="28"/>
  <c r="AG33" i="7"/>
  <c r="AF78" i="7"/>
  <c r="AF26" i="28" s="1"/>
  <c r="AG11" i="28"/>
  <c r="AF67" i="28"/>
  <c r="AF76" i="28"/>
  <c r="AG20" i="28"/>
  <c r="AH43" i="7"/>
  <c r="AF75" i="34"/>
  <c r="AG19" i="34"/>
  <c r="AJ9" i="34"/>
  <c r="AI65" i="34"/>
  <c r="AG18" i="28"/>
  <c r="AF74" i="28"/>
  <c r="AJ41" i="7"/>
  <c r="AG23" i="34"/>
  <c r="AF79" i="34"/>
  <c r="AH61" i="28"/>
  <c r="AI5" i="28"/>
  <c r="AG20" i="34"/>
  <c r="AF76" i="34"/>
  <c r="AR54" i="35"/>
  <c r="AS9" i="35"/>
  <c r="AR15" i="35"/>
  <c r="AH31" i="32"/>
  <c r="AG76" i="32"/>
  <c r="AG24" i="34" s="1"/>
  <c r="AI63" i="32"/>
  <c r="AJ10" i="32"/>
  <c r="AI16" i="32"/>
  <c r="AK41" i="32"/>
  <c r="AD83" i="34"/>
  <c r="AH16" i="34"/>
  <c r="AG72" i="34"/>
  <c r="AI69" i="37"/>
  <c r="AJ18" i="37"/>
  <c r="AI16" i="37"/>
  <c r="AH67" i="37"/>
  <c r="AE73" i="28"/>
  <c r="AF17" i="28"/>
  <c r="AG77" i="34"/>
  <c r="AH21" i="34"/>
  <c r="AH15" i="34"/>
  <c r="AG71" i="34"/>
  <c r="AF73" i="37"/>
  <c r="AE63" i="34"/>
  <c r="AF7" i="34"/>
  <c r="AE27" i="34"/>
  <c r="AH31" i="7"/>
  <c r="AG76" i="7"/>
  <c r="AG24" i="28" s="1"/>
  <c r="AH18" i="34"/>
  <c r="AG74" i="34"/>
  <c r="AE27" i="28"/>
  <c r="AH32" i="32"/>
  <c r="AG77" i="32"/>
  <c r="AG25" i="34" s="1"/>
  <c r="AH62" i="34"/>
  <c r="AI6" i="34"/>
  <c r="AH7" i="37"/>
  <c r="AG58" i="37"/>
  <c r="AG22" i="37"/>
  <c r="AG70" i="34"/>
  <c r="AH14" i="34"/>
  <c r="AG65" i="28"/>
  <c r="AH9" i="28"/>
  <c r="AG23" i="28"/>
  <c r="AF79" i="28"/>
  <c r="AF70" i="28"/>
  <c r="AG14" i="28"/>
  <c r="AG32" i="7"/>
  <c r="AF77" i="7"/>
  <c r="AF25" i="28" s="1"/>
  <c r="AF7" i="28"/>
  <c r="AE63" i="28"/>
  <c r="AH15" i="28"/>
  <c r="AG71" i="28"/>
  <c r="AE73" i="34"/>
  <c r="AF17" i="34"/>
  <c r="AH20" i="32"/>
  <c r="AG69" i="32"/>
  <c r="AG66" i="37"/>
  <c r="AH15" i="37"/>
  <c r="AG78" i="28"/>
  <c r="AH22" i="28"/>
  <c r="AH10" i="28"/>
  <c r="AG66" i="28"/>
  <c r="AI56" i="37"/>
  <c r="AJ5" i="37"/>
  <c r="AH20" i="7"/>
  <c r="AG69" i="7"/>
  <c r="AF62" i="28"/>
  <c r="AG6" i="28"/>
  <c r="AK61" i="32"/>
  <c r="AK64" i="32"/>
  <c r="AK67" i="32"/>
  <c r="AK62" i="32"/>
  <c r="AK71" i="32"/>
  <c r="AK60" i="32"/>
  <c r="AK66" i="32"/>
  <c r="AK57" i="32"/>
  <c r="AK5" i="34" s="1"/>
  <c r="AK72" i="32"/>
  <c r="AK59" i="32"/>
  <c r="AK73" i="32"/>
  <c r="AK70" i="32"/>
  <c r="AK74" i="32"/>
  <c r="AL54" i="32"/>
  <c r="AK68" i="32"/>
  <c r="AK75" i="32"/>
  <c r="AK65" i="32"/>
  <c r="AK58" i="32"/>
  <c r="AF35" i="32"/>
  <c r="B52" i="7"/>
  <c r="AG78" i="34"/>
  <c r="AH22" i="34"/>
  <c r="AL12" i="37" l="1"/>
  <c r="AK63" i="37"/>
  <c r="AQ25" i="35"/>
  <c r="AQ60" i="35"/>
  <c r="AR19" i="35"/>
  <c r="AF45" i="7"/>
  <c r="AJ10" i="37"/>
  <c r="AI61" i="37"/>
  <c r="AE83" i="28"/>
  <c r="B16" i="13"/>
  <c r="B46" i="13" s="1"/>
  <c r="AK62" i="37"/>
  <c r="AL11" i="37"/>
  <c r="AI68" i="37"/>
  <c r="AJ17" i="37"/>
  <c r="AJ72" i="37"/>
  <c r="AK21" i="37"/>
  <c r="AI57" i="37"/>
  <c r="AJ6" i="37"/>
  <c r="AI59" i="37"/>
  <c r="AJ8" i="37"/>
  <c r="AF82" i="34"/>
  <c r="AF82" i="28"/>
  <c r="AG80" i="34"/>
  <c r="AF81" i="28"/>
  <c r="AF27" i="28"/>
  <c r="AG80" i="28"/>
  <c r="AK61" i="34"/>
  <c r="AG81" i="34"/>
  <c r="AH78" i="34"/>
  <c r="AI22" i="34"/>
  <c r="AL71" i="32"/>
  <c r="AL67" i="32"/>
  <c r="AL72" i="32"/>
  <c r="AL57" i="32"/>
  <c r="AL5" i="34" s="1"/>
  <c r="AL73" i="32"/>
  <c r="AL75" i="32"/>
  <c r="AL68" i="32"/>
  <c r="AM54" i="32"/>
  <c r="AL59" i="32"/>
  <c r="AL70" i="32"/>
  <c r="AL58" i="32"/>
  <c r="AL61" i="32"/>
  <c r="AL60" i="32"/>
  <c r="AL62" i="32"/>
  <c r="AL66" i="32"/>
  <c r="AL74" i="32"/>
  <c r="AL65" i="32"/>
  <c r="AL64" i="32"/>
  <c r="AF73" i="34"/>
  <c r="AG17" i="34"/>
  <c r="AH14" i="28"/>
  <c r="AG70" i="28"/>
  <c r="AI62" i="34"/>
  <c r="AJ6" i="34"/>
  <c r="AJ63" i="32"/>
  <c r="AJ16" i="32"/>
  <c r="AK10" i="32"/>
  <c r="AK43" i="32" s="1"/>
  <c r="AF75" i="28"/>
  <c r="AG19" i="28"/>
  <c r="AI68" i="34"/>
  <c r="AJ12" i="34"/>
  <c r="AH69" i="34"/>
  <c r="AI13" i="34"/>
  <c r="AI10" i="28"/>
  <c r="AH66" i="28"/>
  <c r="AK41" i="7"/>
  <c r="AH11" i="28"/>
  <c r="AG67" i="28"/>
  <c r="AR32" i="35"/>
  <c r="AQ34" i="35"/>
  <c r="AQ36" i="35" s="1"/>
  <c r="AF63" i="34"/>
  <c r="AG7" i="34"/>
  <c r="AF27" i="34"/>
  <c r="AJ69" i="37"/>
  <c r="AK18" i="37"/>
  <c r="AI31" i="32"/>
  <c r="AH76" i="32"/>
  <c r="AH24" i="34" s="1"/>
  <c r="AI67" i="37"/>
  <c r="AJ16" i="37"/>
  <c r="AE83" i="34"/>
  <c r="AH33" i="7"/>
  <c r="AG78" i="7"/>
  <c r="AG26" i="28" s="1"/>
  <c r="AH33" i="32"/>
  <c r="AH35" i="32" s="1"/>
  <c r="AH45" i="32" s="1"/>
  <c r="AG78" i="32"/>
  <c r="AG26" i="34" s="1"/>
  <c r="AH21" i="28"/>
  <c r="AG77" i="28"/>
  <c r="AJ9" i="37"/>
  <c r="AI60" i="37"/>
  <c r="AI10" i="34"/>
  <c r="AH66" i="34"/>
  <c r="AF64" i="34"/>
  <c r="AG8" i="34"/>
  <c r="AH23" i="34"/>
  <c r="AG79" i="34"/>
  <c r="AG62" i="28"/>
  <c r="AH6" i="28"/>
  <c r="AS15" i="35"/>
  <c r="AS54" i="35"/>
  <c r="AT9" i="35"/>
  <c r="AG74" i="28"/>
  <c r="AH18" i="28"/>
  <c r="AG69" i="28"/>
  <c r="AH13" i="28"/>
  <c r="AK67" i="7"/>
  <c r="AK62" i="7"/>
  <c r="AK74" i="7"/>
  <c r="AK73" i="7"/>
  <c r="AK70" i="7"/>
  <c r="AK66" i="7"/>
  <c r="AK64" i="7"/>
  <c r="AK71" i="7"/>
  <c r="AK61" i="7"/>
  <c r="AK65" i="7"/>
  <c r="AK58" i="7"/>
  <c r="AK68" i="7"/>
  <c r="AK72" i="7"/>
  <c r="AK59" i="7"/>
  <c r="AK75" i="7"/>
  <c r="AL54" i="7"/>
  <c r="AK60" i="7"/>
  <c r="AK57" i="7"/>
  <c r="C52" i="32"/>
  <c r="C51" i="32"/>
  <c r="G15" i="13" s="1"/>
  <c r="C49" i="32"/>
  <c r="G13" i="13" s="1"/>
  <c r="AJ20" i="37"/>
  <c r="AI71" i="37"/>
  <c r="C52" i="7"/>
  <c r="C51" i="7"/>
  <c r="C15" i="13" s="1"/>
  <c r="C49" i="7"/>
  <c r="C13" i="13" s="1"/>
  <c r="AH78" i="28"/>
  <c r="AI22" i="28"/>
  <c r="AG79" i="28"/>
  <c r="AH23" i="28"/>
  <c r="AI9" i="28"/>
  <c r="AH65" i="28"/>
  <c r="AH70" i="34"/>
  <c r="AI14" i="34"/>
  <c r="C50" i="32"/>
  <c r="G14" i="13" s="1"/>
  <c r="C50" i="7"/>
  <c r="C14" i="13" s="1"/>
  <c r="AG8" i="28"/>
  <c r="AF64" i="28"/>
  <c r="AI31" i="7"/>
  <c r="AH76" i="7"/>
  <c r="AH24" i="28" s="1"/>
  <c r="AG35" i="7"/>
  <c r="AG45" i="7" s="1"/>
  <c r="AI15" i="34"/>
  <c r="AH71" i="34"/>
  <c r="AH72" i="34"/>
  <c r="AI16" i="34"/>
  <c r="AJ65" i="34"/>
  <c r="AK9" i="34"/>
  <c r="F44" i="13"/>
  <c r="F16" i="13"/>
  <c r="F46" i="13" s="1"/>
  <c r="AK13" i="37"/>
  <c r="AJ64" i="37"/>
  <c r="AI12" i="28"/>
  <c r="AH68" i="28"/>
  <c r="AH71" i="28"/>
  <c r="AI15" i="28"/>
  <c r="AI15" i="37"/>
  <c r="AH66" i="37"/>
  <c r="AI20" i="7"/>
  <c r="AH69" i="7"/>
  <c r="AH77" i="34"/>
  <c r="AI21" i="34"/>
  <c r="AH20" i="34"/>
  <c r="AG76" i="34"/>
  <c r="AG75" i="34"/>
  <c r="AH19" i="34"/>
  <c r="AH67" i="34"/>
  <c r="AI11" i="34"/>
  <c r="AJ19" i="37"/>
  <c r="AI70" i="37"/>
  <c r="AJ14" i="37"/>
  <c r="AI65" i="37"/>
  <c r="F9" i="13"/>
  <c r="F39" i="13" s="1"/>
  <c r="AF45" i="32"/>
  <c r="AI32" i="32"/>
  <c r="AH77" i="32"/>
  <c r="AH25" i="34" s="1"/>
  <c r="AG73" i="37"/>
  <c r="AI18" i="34"/>
  <c r="AH74" i="34"/>
  <c r="AJ43" i="32"/>
  <c r="AI63" i="7"/>
  <c r="AI16" i="7"/>
  <c r="AJ10" i="7"/>
  <c r="AJ43" i="7" s="1"/>
  <c r="AG7" i="28"/>
  <c r="AF63" i="28"/>
  <c r="AJ56" i="37"/>
  <c r="AK5" i="37"/>
  <c r="AG35" i="32"/>
  <c r="AG45" i="32" s="1"/>
  <c r="AH32" i="7"/>
  <c r="AH35" i="7" s="1"/>
  <c r="AH45" i="7" s="1"/>
  <c r="AG77" i="7"/>
  <c r="AG25" i="28" s="1"/>
  <c r="AH58" i="37"/>
  <c r="AI7" i="37"/>
  <c r="AH22" i="37"/>
  <c r="AF73" i="28"/>
  <c r="AG17" i="28"/>
  <c r="AL41" i="32"/>
  <c r="AI61" i="28"/>
  <c r="AJ5" i="28"/>
  <c r="AH16" i="28"/>
  <c r="AG72" i="28"/>
  <c r="AI20" i="32"/>
  <c r="AH69" i="32"/>
  <c r="AG76" i="28"/>
  <c r="AH20" i="28"/>
  <c r="AR25" i="35" l="1"/>
  <c r="AR60" i="35"/>
  <c r="AS19" i="35"/>
  <c r="AL63" i="37"/>
  <c r="AM12" i="37"/>
  <c r="AF83" i="28"/>
  <c r="AJ61" i="37"/>
  <c r="AK10" i="37"/>
  <c r="AK8" i="37"/>
  <c r="AJ59" i="37"/>
  <c r="AJ57" i="37"/>
  <c r="AK6" i="37"/>
  <c r="AK72" i="37"/>
  <c r="AL21" i="37"/>
  <c r="AK17" i="37"/>
  <c r="AJ68" i="37"/>
  <c r="AH73" i="37"/>
  <c r="AL62" i="37"/>
  <c r="AM11" i="37"/>
  <c r="AG82" i="28"/>
  <c r="AG81" i="28"/>
  <c r="AL61" i="34"/>
  <c r="AH81" i="34"/>
  <c r="AH80" i="34"/>
  <c r="AG82" i="34"/>
  <c r="AJ20" i="32"/>
  <c r="AI69" i="32"/>
  <c r="AL5" i="37"/>
  <c r="AK56" i="37"/>
  <c r="AJ32" i="32"/>
  <c r="AI77" i="32"/>
  <c r="AI25" i="34" s="1"/>
  <c r="AH76" i="34"/>
  <c r="AI20" i="34"/>
  <c r="G16" i="13"/>
  <c r="C16" i="13"/>
  <c r="K16" i="13"/>
  <c r="AL62" i="7"/>
  <c r="AL57" i="7"/>
  <c r="AL59" i="7"/>
  <c r="AL60" i="7"/>
  <c r="AL65" i="7"/>
  <c r="AL68" i="7"/>
  <c r="AL74" i="7"/>
  <c r="AL72" i="7"/>
  <c r="AL73" i="7"/>
  <c r="AL58" i="7"/>
  <c r="AM54" i="7"/>
  <c r="AL70" i="7"/>
  <c r="AL66" i="7"/>
  <c r="AL75" i="7"/>
  <c r="AL64" i="7"/>
  <c r="AL71" i="7"/>
  <c r="AL61" i="7"/>
  <c r="AL67" i="7"/>
  <c r="AJ60" i="37"/>
  <c r="AK9" i="37"/>
  <c r="AH80" i="28"/>
  <c r="AH62" i="28"/>
  <c r="AI6" i="28"/>
  <c r="AL13" i="37"/>
  <c r="AK64" i="37"/>
  <c r="AL18" i="37"/>
  <c r="AK69" i="37"/>
  <c r="AI66" i="28"/>
  <c r="AJ10" i="28"/>
  <c r="AK20" i="37"/>
  <c r="AJ71" i="37"/>
  <c r="AI33" i="32"/>
  <c r="AH78" i="32"/>
  <c r="AH26" i="34" s="1"/>
  <c r="AI69" i="34"/>
  <c r="AJ13" i="34"/>
  <c r="AH79" i="34"/>
  <c r="AI23" i="34"/>
  <c r="AI14" i="28"/>
  <c r="AH70" i="28"/>
  <c r="AJ31" i="32"/>
  <c r="AI76" i="32"/>
  <c r="AI24" i="34" s="1"/>
  <c r="AK65" i="34"/>
  <c r="AL9" i="34"/>
  <c r="AI13" i="28"/>
  <c r="AH69" i="28"/>
  <c r="AI33" i="7"/>
  <c r="AH78" i="7"/>
  <c r="AH26" i="28" s="1"/>
  <c r="AH7" i="34"/>
  <c r="AG63" i="34"/>
  <c r="AG27" i="34"/>
  <c r="AK12" i="34"/>
  <c r="AJ68" i="34"/>
  <c r="AH17" i="34"/>
  <c r="AG73" i="34"/>
  <c r="AI78" i="34"/>
  <c r="AJ22" i="34"/>
  <c r="AG73" i="28"/>
  <c r="AH17" i="28"/>
  <c r="AL41" i="7"/>
  <c r="AJ62" i="34"/>
  <c r="AK6" i="34"/>
  <c r="AK14" i="37"/>
  <c r="AJ65" i="37"/>
  <c r="AI58" i="37"/>
  <c r="AJ7" i="37"/>
  <c r="AI22" i="37"/>
  <c r="AJ11" i="34"/>
  <c r="AI67" i="34"/>
  <c r="AI65" i="28"/>
  <c r="AJ9" i="28"/>
  <c r="AH8" i="34"/>
  <c r="AG64" i="34"/>
  <c r="AF83" i="34"/>
  <c r="AH76" i="28"/>
  <c r="AI20" i="28"/>
  <c r="AI72" i="34"/>
  <c r="AJ16" i="34"/>
  <c r="AJ31" i="7"/>
  <c r="AI76" i="7"/>
  <c r="AI24" i="28" s="1"/>
  <c r="AH79" i="28"/>
  <c r="AI23" i="28"/>
  <c r="AH74" i="28"/>
  <c r="AI18" i="28"/>
  <c r="AG75" i="28"/>
  <c r="AH19" i="28"/>
  <c r="AH72" i="28"/>
  <c r="AI16" i="28"/>
  <c r="AK5" i="28"/>
  <c r="AJ61" i="28"/>
  <c r="AI32" i="7"/>
  <c r="AH77" i="7"/>
  <c r="AH25" i="28" s="1"/>
  <c r="AJ18" i="34"/>
  <c r="AI74" i="34"/>
  <c r="AI19" i="34"/>
  <c r="AH75" i="34"/>
  <c r="AJ15" i="37"/>
  <c r="AI66" i="37"/>
  <c r="AK16" i="37"/>
  <c r="AJ67" i="37"/>
  <c r="AR34" i="35"/>
  <c r="AS32" i="35"/>
  <c r="AI77" i="34"/>
  <c r="AJ21" i="34"/>
  <c r="AG27" i="28"/>
  <c r="AJ20" i="7"/>
  <c r="AI69" i="7"/>
  <c r="AK19" i="37"/>
  <c r="AJ70" i="37"/>
  <c r="AJ15" i="28"/>
  <c r="AI71" i="28"/>
  <c r="AJ22" i="28"/>
  <c r="AI78" i="28"/>
  <c r="AT15" i="35"/>
  <c r="AU9" i="35"/>
  <c r="AT54" i="35"/>
  <c r="AI66" i="34"/>
  <c r="AJ10" i="34"/>
  <c r="AK63" i="32"/>
  <c r="AK16" i="32"/>
  <c r="AL10" i="32"/>
  <c r="AL43" i="32" s="1"/>
  <c r="AM59" i="32"/>
  <c r="AM60" i="32"/>
  <c r="AM58" i="32"/>
  <c r="AM75" i="32"/>
  <c r="AM66" i="32"/>
  <c r="AM73" i="32"/>
  <c r="AM57" i="32"/>
  <c r="AM5" i="34" s="1"/>
  <c r="AN54" i="32"/>
  <c r="AM68" i="32"/>
  <c r="AM65" i="32"/>
  <c r="AM70" i="32"/>
  <c r="AM67" i="32"/>
  <c r="AM61" i="32"/>
  <c r="AM74" i="32"/>
  <c r="AM62" i="32"/>
  <c r="AM71" i="32"/>
  <c r="AM64" i="32"/>
  <c r="AM72" i="32"/>
  <c r="AJ12" i="28"/>
  <c r="AI68" i="28"/>
  <c r="AI70" i="34"/>
  <c r="AJ14" i="34"/>
  <c r="AH77" i="28"/>
  <c r="AI21" i="28"/>
  <c r="AH7" i="28"/>
  <c r="AG63" i="28"/>
  <c r="AJ63" i="7"/>
  <c r="AJ16" i="7"/>
  <c r="AK10" i="7"/>
  <c r="AM41" i="32"/>
  <c r="AI71" i="34"/>
  <c r="AJ15" i="34"/>
  <c r="AG64" i="28"/>
  <c r="AH8" i="28"/>
  <c r="AI11" i="28"/>
  <c r="AH67" i="28"/>
  <c r="AR36" i="35" l="1"/>
  <c r="AM63" i="37"/>
  <c r="AN12" i="37"/>
  <c r="AS25" i="35"/>
  <c r="AS60" i="35"/>
  <c r="AT19" i="35"/>
  <c r="AH27" i="28"/>
  <c r="AL10" i="37"/>
  <c r="AK61" i="37"/>
  <c r="AG83" i="28"/>
  <c r="AN11" i="37"/>
  <c r="AM62" i="37"/>
  <c r="AK68" i="37"/>
  <c r="AL17" i="37"/>
  <c r="AM21" i="37"/>
  <c r="AL72" i="37"/>
  <c r="AL6" i="37"/>
  <c r="AK57" i="37"/>
  <c r="AI73" i="37"/>
  <c r="AK59" i="37"/>
  <c r="AL8" i="37"/>
  <c r="AI80" i="28"/>
  <c r="AH82" i="34"/>
  <c r="AH82" i="28"/>
  <c r="AM61" i="34"/>
  <c r="AH81" i="28"/>
  <c r="AI81" i="34"/>
  <c r="AK7" i="37"/>
  <c r="AJ58" i="37"/>
  <c r="AJ22" i="37"/>
  <c r="AJ21" i="28"/>
  <c r="AI77" i="28"/>
  <c r="AJ77" i="34"/>
  <c r="AK21" i="34"/>
  <c r="AI19" i="28"/>
  <c r="AH75" i="28"/>
  <c r="AJ78" i="34"/>
  <c r="AK22" i="34"/>
  <c r="AI69" i="28"/>
  <c r="AJ13" i="28"/>
  <c r="AL64" i="37"/>
  <c r="AM13" i="37"/>
  <c r="AI80" i="34"/>
  <c r="AI74" i="28"/>
  <c r="AJ18" i="28"/>
  <c r="AK15" i="28"/>
  <c r="AJ71" i="28"/>
  <c r="AH73" i="34"/>
  <c r="AI17" i="34"/>
  <c r="AK14" i="34"/>
  <c r="AJ70" i="34"/>
  <c r="AL5" i="28"/>
  <c r="AK61" i="28"/>
  <c r="AI79" i="28"/>
  <c r="AJ23" i="28"/>
  <c r="AK65" i="37"/>
  <c r="AL14" i="37"/>
  <c r="AK71" i="37"/>
  <c r="AL20" i="37"/>
  <c r="AJ6" i="28"/>
  <c r="AI62" i="28"/>
  <c r="AK32" i="32"/>
  <c r="AJ77" i="32"/>
  <c r="AJ25" i="34" s="1"/>
  <c r="AJ32" i="7"/>
  <c r="AI77" i="7"/>
  <c r="AI25" i="28" s="1"/>
  <c r="AL12" i="34"/>
  <c r="AK68" i="34"/>
  <c r="AK62" i="34"/>
  <c r="AL6" i="34"/>
  <c r="AK31" i="32"/>
  <c r="AJ76" i="32"/>
  <c r="AJ24" i="34" s="1"/>
  <c r="AK10" i="28"/>
  <c r="AJ66" i="28"/>
  <c r="AL65" i="34"/>
  <c r="AM9" i="34"/>
  <c r="AM10" i="32"/>
  <c r="AL16" i="32"/>
  <c r="AL63" i="32"/>
  <c r="AJ66" i="34"/>
  <c r="AK10" i="34"/>
  <c r="AJ66" i="37"/>
  <c r="AK15" i="37"/>
  <c r="AI72" i="28"/>
  <c r="AJ16" i="28"/>
  <c r="AK31" i="7"/>
  <c r="AJ76" i="7"/>
  <c r="AJ24" i="28" s="1"/>
  <c r="AI8" i="34"/>
  <c r="AH64" i="34"/>
  <c r="AG83" i="34"/>
  <c r="AM5" i="37"/>
  <c r="AL56" i="37"/>
  <c r="AJ78" i="28"/>
  <c r="AK22" i="28"/>
  <c r="AJ33" i="32"/>
  <c r="AJ35" i="32" s="1"/>
  <c r="AJ45" i="32" s="1"/>
  <c r="AI78" i="32"/>
  <c r="AI26" i="34" s="1"/>
  <c r="AK63" i="7"/>
  <c r="AK16" i="7"/>
  <c r="AL10" i="7"/>
  <c r="AI67" i="28"/>
  <c r="AJ11" i="28"/>
  <c r="AN64" i="32"/>
  <c r="AN73" i="32"/>
  <c r="AN59" i="32"/>
  <c r="AN74" i="32"/>
  <c r="AN66" i="32"/>
  <c r="AN65" i="32"/>
  <c r="AN71" i="32"/>
  <c r="AN70" i="32"/>
  <c r="AN57" i="32"/>
  <c r="AN5" i="34" s="1"/>
  <c r="AN72" i="32"/>
  <c r="AN67" i="32"/>
  <c r="AN68" i="32"/>
  <c r="AN58" i="32"/>
  <c r="AN62" i="32"/>
  <c r="AN61" i="32"/>
  <c r="AN75" i="32"/>
  <c r="AN60" i="32"/>
  <c r="AO54" i="32"/>
  <c r="AI35" i="7"/>
  <c r="AI45" i="7" s="1"/>
  <c r="AJ72" i="34"/>
  <c r="AK16" i="34"/>
  <c r="AK9" i="28"/>
  <c r="AJ65" i="28"/>
  <c r="AK43" i="7"/>
  <c r="AI7" i="34"/>
  <c r="AH63" i="34"/>
  <c r="AH27" i="34"/>
  <c r="AI70" i="28"/>
  <c r="AJ14" i="28"/>
  <c r="AK20" i="7"/>
  <c r="AJ35" i="7"/>
  <c r="AJ45" i="7" s="1"/>
  <c r="AJ69" i="7"/>
  <c r="AI75" i="34"/>
  <c r="AJ19" i="34"/>
  <c r="AM41" i="7"/>
  <c r="AI79" i="34"/>
  <c r="AJ23" i="34"/>
  <c r="AM18" i="37"/>
  <c r="AL69" i="37"/>
  <c r="AK60" i="37"/>
  <c r="AL9" i="37"/>
  <c r="AM75" i="7"/>
  <c r="AM57" i="7"/>
  <c r="AM71" i="7"/>
  <c r="AM68" i="7"/>
  <c r="AM67" i="7"/>
  <c r="AM62" i="7"/>
  <c r="AM60" i="7"/>
  <c r="AN54" i="7"/>
  <c r="AM58" i="7"/>
  <c r="AM59" i="7"/>
  <c r="AM70" i="7"/>
  <c r="AM72" i="7"/>
  <c r="AM66" i="7"/>
  <c r="AM64" i="7"/>
  <c r="AM73" i="7"/>
  <c r="AM74" i="7"/>
  <c r="AM61" i="7"/>
  <c r="AM65" i="7"/>
  <c r="AI35" i="32"/>
  <c r="AI45" i="32" s="1"/>
  <c r="AJ71" i="34"/>
  <c r="AK15" i="34"/>
  <c r="AN41" i="32"/>
  <c r="AJ68" i="28"/>
  <c r="AK12" i="28"/>
  <c r="AK67" i="37"/>
  <c r="AL16" i="37"/>
  <c r="AU54" i="35"/>
  <c r="AU15" i="35"/>
  <c r="AV9" i="35"/>
  <c r="AI76" i="28"/>
  <c r="AJ20" i="28"/>
  <c r="AH73" i="28"/>
  <c r="AI17" i="28"/>
  <c r="AJ33" i="7"/>
  <c r="AI78" i="7"/>
  <c r="AI26" i="28" s="1"/>
  <c r="AK20" i="32"/>
  <c r="AJ69" i="32"/>
  <c r="AI76" i="34"/>
  <c r="AJ20" i="34"/>
  <c r="AT32" i="35"/>
  <c r="AS34" i="35"/>
  <c r="AS36" i="35" s="1"/>
  <c r="AL19" i="37"/>
  <c r="AK70" i="37"/>
  <c r="AH64" i="28"/>
  <c r="AI8" i="28"/>
  <c r="AI7" i="28"/>
  <c r="AH63" i="28"/>
  <c r="AK18" i="34"/>
  <c r="AJ74" i="34"/>
  <c r="AJ67" i="34"/>
  <c r="AK11" i="34"/>
  <c r="AJ69" i="34"/>
  <c r="AK13" i="34"/>
  <c r="AU19" i="35" l="1"/>
  <c r="AT25" i="35"/>
  <c r="AT60" i="35"/>
  <c r="AO12" i="37"/>
  <c r="AN63" i="37"/>
  <c r="AH83" i="28"/>
  <c r="AL61" i="37"/>
  <c r="AM10" i="37"/>
  <c r="AL59" i="37"/>
  <c r="AM8" i="37"/>
  <c r="AL57" i="37"/>
  <c r="AM6" i="37"/>
  <c r="AM72" i="37"/>
  <c r="AN21" i="37"/>
  <c r="AL68" i="37"/>
  <c r="AM17" i="37"/>
  <c r="AO11" i="37"/>
  <c r="AN62" i="37"/>
  <c r="AJ80" i="34"/>
  <c r="AI82" i="28"/>
  <c r="AJ80" i="28"/>
  <c r="AJ81" i="34"/>
  <c r="AI82" i="34"/>
  <c r="AO5" i="34"/>
  <c r="AN61" i="34"/>
  <c r="AJ79" i="28"/>
  <c r="AK23" i="28"/>
  <c r="AL18" i="34"/>
  <c r="AK74" i="34"/>
  <c r="AK71" i="34"/>
  <c r="AL15" i="34"/>
  <c r="AK65" i="28"/>
  <c r="AL9" i="28"/>
  <c r="AK32" i="7"/>
  <c r="AJ77" i="7"/>
  <c r="AI73" i="34"/>
  <c r="AJ17" i="34"/>
  <c r="AK78" i="34"/>
  <c r="AL22" i="34"/>
  <c r="AJ25" i="28"/>
  <c r="AI81" i="28"/>
  <c r="AN5" i="37"/>
  <c r="AM56" i="37"/>
  <c r="AI63" i="28"/>
  <c r="AJ7" i="28"/>
  <c r="AK11" i="28"/>
  <c r="AJ67" i="28"/>
  <c r="AL62" i="34"/>
  <c r="AM6" i="34"/>
  <c r="AI27" i="28"/>
  <c r="AK71" i="28"/>
  <c r="AL15" i="28"/>
  <c r="AI75" i="28"/>
  <c r="AJ19" i="28"/>
  <c r="AJ74" i="28"/>
  <c r="AK18" i="28"/>
  <c r="AK77" i="34"/>
  <c r="AL21" i="34"/>
  <c r="AM9" i="37"/>
  <c r="AL60" i="37"/>
  <c r="AL31" i="32"/>
  <c r="AK76" i="32"/>
  <c r="AK24" i="34" s="1"/>
  <c r="AK14" i="28"/>
  <c r="AJ70" i="28"/>
  <c r="AO67" i="32"/>
  <c r="AO70" i="32"/>
  <c r="AO60" i="32"/>
  <c r="AO65" i="32"/>
  <c r="AO68" i="32"/>
  <c r="AO71" i="32"/>
  <c r="AO66" i="32"/>
  <c r="AO57" i="32"/>
  <c r="AO62" i="32"/>
  <c r="AO75" i="32"/>
  <c r="AO73" i="32"/>
  <c r="AO74" i="32"/>
  <c r="AP54" i="32"/>
  <c r="AO61" i="32"/>
  <c r="AO59" i="32"/>
  <c r="AO72" i="32"/>
  <c r="AO64" i="32"/>
  <c r="AO58" i="32"/>
  <c r="AL63" i="7"/>
  <c r="AM10" i="7"/>
  <c r="AM43" i="7" s="1"/>
  <c r="AL16" i="7"/>
  <c r="AM16" i="32"/>
  <c r="AN10" i="32"/>
  <c r="AM63" i="32"/>
  <c r="AK6" i="28"/>
  <c r="AJ62" i="28"/>
  <c r="AL61" i="28"/>
  <c r="AM5" i="28"/>
  <c r="AJ8" i="34"/>
  <c r="AI64" i="34"/>
  <c r="AM20" i="37"/>
  <c r="AL71" i="37"/>
  <c r="AV54" i="35"/>
  <c r="AV15" i="35"/>
  <c r="AW9" i="35"/>
  <c r="AJ8" i="28"/>
  <c r="AI64" i="28"/>
  <c r="AM16" i="37"/>
  <c r="AL67" i="37"/>
  <c r="AL70" i="37"/>
  <c r="AM19" i="37"/>
  <c r="AJ17" i="28"/>
  <c r="AI73" i="28"/>
  <c r="AL43" i="7"/>
  <c r="AN9" i="34"/>
  <c r="AM65" i="34"/>
  <c r="AJ77" i="28"/>
  <c r="AK21" i="28"/>
  <c r="AK72" i="34"/>
  <c r="AL16" i="34"/>
  <c r="AL12" i="28"/>
  <c r="AK68" i="28"/>
  <c r="AN41" i="7"/>
  <c r="AH83" i="34"/>
  <c r="AL31" i="7"/>
  <c r="AK76" i="7"/>
  <c r="AK24" i="28" s="1"/>
  <c r="AM14" i="37"/>
  <c r="AL65" i="37"/>
  <c r="AN13" i="37"/>
  <c r="AM64" i="37"/>
  <c r="AL20" i="32"/>
  <c r="AK69" i="32"/>
  <c r="AN18" i="37"/>
  <c r="AM69" i="37"/>
  <c r="AU32" i="35"/>
  <c r="AT34" i="35"/>
  <c r="AT36" i="35" s="1"/>
  <c r="AK19" i="34"/>
  <c r="AJ75" i="34"/>
  <c r="AI63" i="34"/>
  <c r="AJ7" i="34"/>
  <c r="AI27" i="34"/>
  <c r="AK33" i="32"/>
  <c r="AJ78" i="32"/>
  <c r="AJ26" i="34" s="1"/>
  <c r="AK16" i="28"/>
  <c r="AJ72" i="28"/>
  <c r="AL14" i="34"/>
  <c r="AK70" i="34"/>
  <c r="AJ73" i="37"/>
  <c r="AL32" i="32"/>
  <c r="AK77" i="32"/>
  <c r="AK25" i="34" s="1"/>
  <c r="AK69" i="34"/>
  <c r="AL13" i="34"/>
  <c r="AK67" i="34"/>
  <c r="AL11" i="34"/>
  <c r="AK20" i="34"/>
  <c r="AJ76" i="34"/>
  <c r="AO41" i="32"/>
  <c r="AK78" i="28"/>
  <c r="AL22" i="28"/>
  <c r="AL68" i="34"/>
  <c r="AM12" i="34"/>
  <c r="AK13" i="28"/>
  <c r="AJ69" i="28"/>
  <c r="AL7" i="37"/>
  <c r="AK58" i="37"/>
  <c r="AK22" i="37"/>
  <c r="AL20" i="7"/>
  <c r="AK69" i="7"/>
  <c r="AK66" i="34"/>
  <c r="AL10" i="34"/>
  <c r="AN73" i="7"/>
  <c r="AN72" i="7"/>
  <c r="AN59" i="7"/>
  <c r="AN75" i="7"/>
  <c r="AN67" i="7"/>
  <c r="AN58" i="7"/>
  <c r="AN64" i="7"/>
  <c r="AN62" i="7"/>
  <c r="AN61" i="7"/>
  <c r="AN74" i="7"/>
  <c r="AN57" i="7"/>
  <c r="AN60" i="7"/>
  <c r="AN68" i="7"/>
  <c r="AN65" i="7"/>
  <c r="AN71" i="7"/>
  <c r="AN70" i="7"/>
  <c r="AN66" i="7"/>
  <c r="AO54" i="7"/>
  <c r="AK23" i="34"/>
  <c r="AJ79" i="34"/>
  <c r="AK33" i="7"/>
  <c r="AJ78" i="7"/>
  <c r="AJ26" i="28" s="1"/>
  <c r="AJ76" i="28"/>
  <c r="AK20" i="28"/>
  <c r="AM43" i="32"/>
  <c r="AK66" i="37"/>
  <c r="AL15" i="37"/>
  <c r="AK66" i="28"/>
  <c r="AL10" i="28"/>
  <c r="AP12" i="37" l="1"/>
  <c r="AO63" i="37"/>
  <c r="AV19" i="35"/>
  <c r="AU25" i="35"/>
  <c r="AU60" i="35"/>
  <c r="AM61" i="37"/>
  <c r="AN10" i="37"/>
  <c r="AI83" i="28"/>
  <c r="AP11" i="37"/>
  <c r="AO62" i="37"/>
  <c r="AN17" i="37"/>
  <c r="AM68" i="37"/>
  <c r="AO21" i="37"/>
  <c r="AN72" i="37"/>
  <c r="AN6" i="37"/>
  <c r="AM57" i="37"/>
  <c r="AM59" i="37"/>
  <c r="AN8" i="37"/>
  <c r="AK80" i="28"/>
  <c r="AK81" i="34"/>
  <c r="AJ82" i="28"/>
  <c r="AK80" i="34"/>
  <c r="AJ27" i="28"/>
  <c r="AK73" i="37"/>
  <c r="AL70" i="34"/>
  <c r="AM14" i="34"/>
  <c r="AO9" i="34"/>
  <c r="AN65" i="34"/>
  <c r="AN9" i="37"/>
  <c r="AM60" i="37"/>
  <c r="AJ75" i="28"/>
  <c r="AK19" i="28"/>
  <c r="AL32" i="7"/>
  <c r="AK77" i="7"/>
  <c r="AK25" i="28" s="1"/>
  <c r="AL58" i="37"/>
  <c r="AM7" i="37"/>
  <c r="AL22" i="37"/>
  <c r="AM21" i="34"/>
  <c r="AL77" i="34"/>
  <c r="AJ73" i="28"/>
  <c r="AK17" i="28"/>
  <c r="AL18" i="28"/>
  <c r="AK74" i="28"/>
  <c r="AM15" i="34"/>
  <c r="AL71" i="34"/>
  <c r="AO41" i="7"/>
  <c r="AL69" i="34"/>
  <c r="AM13" i="34"/>
  <c r="AL33" i="32"/>
  <c r="AK78" i="32"/>
  <c r="AK26" i="34" s="1"/>
  <c r="AK35" i="32"/>
  <c r="AK45" i="32" s="1"/>
  <c r="AL68" i="28"/>
  <c r="AM12" i="28"/>
  <c r="AM70" i="37"/>
  <c r="AN19" i="37"/>
  <c r="AO10" i="32"/>
  <c r="AO43" i="32" s="1"/>
  <c r="AN16" i="32"/>
  <c r="AN63" i="32"/>
  <c r="AJ82" i="34"/>
  <c r="AO18" i="37"/>
  <c r="AN69" i="37"/>
  <c r="AL65" i="28"/>
  <c r="AM9" i="28"/>
  <c r="AL16" i="28"/>
  <c r="AK72" i="28"/>
  <c r="AK7" i="34"/>
  <c r="AJ63" i="34"/>
  <c r="AJ27" i="34"/>
  <c r="AJ64" i="34"/>
  <c r="AK8" i="34"/>
  <c r="AP64" i="32"/>
  <c r="AP75" i="32"/>
  <c r="AP57" i="32"/>
  <c r="AQ54" i="32"/>
  <c r="AP67" i="32"/>
  <c r="AP68" i="32"/>
  <c r="AP58" i="32"/>
  <c r="AP66" i="32"/>
  <c r="AP74" i="32"/>
  <c r="AP71" i="32"/>
  <c r="AP73" i="32"/>
  <c r="AP72" i="32"/>
  <c r="AP60" i="32"/>
  <c r="AP65" i="32"/>
  <c r="AP59" i="32"/>
  <c r="AP70" i="32"/>
  <c r="AP62" i="32"/>
  <c r="AP61" i="32"/>
  <c r="AN6" i="34"/>
  <c r="AM62" i="34"/>
  <c r="AJ81" i="28"/>
  <c r="AL20" i="28"/>
  <c r="AK76" i="28"/>
  <c r="AM68" i="34"/>
  <c r="AN12" i="34"/>
  <c r="AL23" i="34"/>
  <c r="AK79" i="34"/>
  <c r="AI83" i="34"/>
  <c r="AN64" i="37"/>
  <c r="AO13" i="37"/>
  <c r="AK77" i="28"/>
  <c r="AL21" i="28"/>
  <c r="AN16" i="37"/>
  <c r="AM67" i="37"/>
  <c r="AM63" i="7"/>
  <c r="AM16" i="7"/>
  <c r="AN10" i="7"/>
  <c r="AN43" i="7" s="1"/>
  <c r="AM22" i="34"/>
  <c r="AL78" i="34"/>
  <c r="AL20" i="34"/>
  <c r="AK76" i="34"/>
  <c r="AP5" i="34"/>
  <c r="AO61" i="34"/>
  <c r="AL67" i="34"/>
  <c r="AM11" i="34"/>
  <c r="AN20" i="37"/>
  <c r="AM71" i="37"/>
  <c r="AK62" i="28"/>
  <c r="AL6" i="28"/>
  <c r="AL35" i="32"/>
  <c r="AL45" i="32" s="1"/>
  <c r="AM20" i="32"/>
  <c r="AL69" i="32"/>
  <c r="AL33" i="7"/>
  <c r="AL35" i="7" s="1"/>
  <c r="AL45" i="7" s="1"/>
  <c r="AK78" i="7"/>
  <c r="AK26" i="28" s="1"/>
  <c r="AL72" i="34"/>
  <c r="AM16" i="34"/>
  <c r="AO65" i="7"/>
  <c r="AO58" i="7"/>
  <c r="AO64" i="7"/>
  <c r="AO62" i="7"/>
  <c r="AO68" i="7"/>
  <c r="AO75" i="7"/>
  <c r="AO60" i="7"/>
  <c r="AO67" i="7"/>
  <c r="AO57" i="7"/>
  <c r="AO72" i="7"/>
  <c r="AO70" i="7"/>
  <c r="AO73" i="7"/>
  <c r="AO61" i="7"/>
  <c r="AO74" i="7"/>
  <c r="AO66" i="7"/>
  <c r="AP54" i="7"/>
  <c r="AO59" i="7"/>
  <c r="AO71" i="7"/>
  <c r="AL78" i="28"/>
  <c r="AM22" i="28"/>
  <c r="AK70" i="28"/>
  <c r="AL14" i="28"/>
  <c r="AL74" i="34"/>
  <c r="AM18" i="34"/>
  <c r="AO5" i="37"/>
  <c r="AN56" i="37"/>
  <c r="AK69" i="28"/>
  <c r="AL13" i="28"/>
  <c r="AK35" i="7"/>
  <c r="AK45" i="7" s="1"/>
  <c r="AM32" i="32"/>
  <c r="AL77" i="32"/>
  <c r="AL25" i="34" s="1"/>
  <c r="AK75" i="34"/>
  <c r="AL19" i="34"/>
  <c r="AN14" i="37"/>
  <c r="AM65" i="37"/>
  <c r="AJ64" i="28"/>
  <c r="AK8" i="28"/>
  <c r="AN5" i="28"/>
  <c r="AM61" i="28"/>
  <c r="AK67" i="28"/>
  <c r="AL11" i="28"/>
  <c r="AK17" i="34"/>
  <c r="AJ73" i="34"/>
  <c r="AK79" i="28"/>
  <c r="AL23" i="28"/>
  <c r="AL66" i="34"/>
  <c r="AM10" i="34"/>
  <c r="AM20" i="7"/>
  <c r="AL69" i="7"/>
  <c r="AN43" i="32"/>
  <c r="AW54" i="35"/>
  <c r="AW15" i="35"/>
  <c r="AX9" i="35"/>
  <c r="AM31" i="32"/>
  <c r="AL76" i="32"/>
  <c r="AL24" i="34" s="1"/>
  <c r="AK7" i="28"/>
  <c r="AJ63" i="28"/>
  <c r="AM15" i="28"/>
  <c r="AL71" i="28"/>
  <c r="AL66" i="28"/>
  <c r="AM10" i="28"/>
  <c r="AL66" i="37"/>
  <c r="AM15" i="37"/>
  <c r="AP41" i="32"/>
  <c r="AV32" i="35"/>
  <c r="AU34" i="35"/>
  <c r="AU36" i="35" s="1"/>
  <c r="AM31" i="7"/>
  <c r="AL76" i="7"/>
  <c r="AL24" i="28" s="1"/>
  <c r="AW19" i="35" l="1"/>
  <c r="AV60" i="35"/>
  <c r="AV25" i="35"/>
  <c r="AP63" i="37"/>
  <c r="AQ12" i="37"/>
  <c r="AJ83" i="28"/>
  <c r="AN61" i="37"/>
  <c r="AO10" i="37"/>
  <c r="AN59" i="37"/>
  <c r="AO8" i="37"/>
  <c r="AO6" i="37"/>
  <c r="AN57" i="37"/>
  <c r="AP21" i="37"/>
  <c r="AO72" i="37"/>
  <c r="AL73" i="37"/>
  <c r="AO17" i="37"/>
  <c r="AN68" i="37"/>
  <c r="AQ11" i="37"/>
  <c r="AP62" i="37"/>
  <c r="AK81" i="28"/>
  <c r="AK27" i="28"/>
  <c r="AK82" i="28"/>
  <c r="AL80" i="28"/>
  <c r="AL81" i="34"/>
  <c r="AL80" i="34"/>
  <c r="AM14" i="28"/>
  <c r="AL70" i="28"/>
  <c r="AQ41" i="32"/>
  <c r="AN31" i="32"/>
  <c r="AM76" i="32"/>
  <c r="AM24" i="34" s="1"/>
  <c r="AN65" i="37"/>
  <c r="AO14" i="37"/>
  <c r="AL76" i="34"/>
  <c r="AM20" i="34"/>
  <c r="AP18" i="37"/>
  <c r="AO69" i="37"/>
  <c r="AM58" i="37"/>
  <c r="AN7" i="37"/>
  <c r="AM22" i="37"/>
  <c r="AM70" i="34"/>
  <c r="AN14" i="34"/>
  <c r="AY9" i="35"/>
  <c r="AX54" i="35"/>
  <c r="AX15" i="35"/>
  <c r="AM6" i="28"/>
  <c r="AL62" i="28"/>
  <c r="AN22" i="28"/>
  <c r="AM78" i="28"/>
  <c r="AO19" i="37"/>
  <c r="AN70" i="37"/>
  <c r="AO10" i="7"/>
  <c r="AO43" i="7" s="1"/>
  <c r="AN63" i="7"/>
  <c r="AN16" i="7"/>
  <c r="AM68" i="28"/>
  <c r="AN12" i="28"/>
  <c r="AM71" i="34"/>
  <c r="AN15" i="34"/>
  <c r="AM32" i="7"/>
  <c r="AL77" i="7"/>
  <c r="AL25" i="28" s="1"/>
  <c r="AK64" i="34"/>
  <c r="AL8" i="34"/>
  <c r="AM23" i="34"/>
  <c r="AL79" i="34"/>
  <c r="AJ83" i="34"/>
  <c r="AK82" i="34"/>
  <c r="AL17" i="34"/>
  <c r="AK73" i="34"/>
  <c r="AM11" i="28"/>
  <c r="AL67" i="28"/>
  <c r="AM71" i="28"/>
  <c r="AN15" i="28"/>
  <c r="AM13" i="28"/>
  <c r="AL69" i="28"/>
  <c r="AN16" i="34"/>
  <c r="AM72" i="34"/>
  <c r="AM67" i="34"/>
  <c r="AN11" i="34"/>
  <c r="AN68" i="34"/>
  <c r="AO12" i="34"/>
  <c r="AL7" i="34"/>
  <c r="AK63" i="34"/>
  <c r="AK27" i="34"/>
  <c r="AL74" i="28"/>
  <c r="AM18" i="28"/>
  <c r="AL19" i="28"/>
  <c r="AK75" i="28"/>
  <c r="AN15" i="37"/>
  <c r="AM66" i="37"/>
  <c r="AN10" i="28"/>
  <c r="AM66" i="28"/>
  <c r="AN20" i="7"/>
  <c r="AM69" i="7"/>
  <c r="AK64" i="28"/>
  <c r="AL8" i="28"/>
  <c r="AK73" i="28"/>
  <c r="AL17" i="28"/>
  <c r="AP41" i="7"/>
  <c r="AN22" i="34"/>
  <c r="AM78" i="34"/>
  <c r="AN62" i="34"/>
  <c r="AO6" i="34"/>
  <c r="AN32" i="32"/>
  <c r="AM77" i="32"/>
  <c r="AM25" i="34" s="1"/>
  <c r="AO20" i="37"/>
  <c r="AN71" i="37"/>
  <c r="AO5" i="28"/>
  <c r="AN61" i="28"/>
  <c r="AN31" i="7"/>
  <c r="AM76" i="7"/>
  <c r="AM24" i="28" s="1"/>
  <c r="AL7" i="28"/>
  <c r="AK63" i="28"/>
  <c r="AM66" i="34"/>
  <c r="AN10" i="34"/>
  <c r="AP75" i="7"/>
  <c r="AP71" i="7"/>
  <c r="AQ54" i="7"/>
  <c r="AP58" i="7"/>
  <c r="AP61" i="7"/>
  <c r="AP60" i="7"/>
  <c r="AP67" i="7"/>
  <c r="AP66" i="7"/>
  <c r="AP65" i="7"/>
  <c r="AP64" i="7"/>
  <c r="AP68" i="7"/>
  <c r="AP74" i="7"/>
  <c r="AP73" i="7"/>
  <c r="AP72" i="7"/>
  <c r="AP70" i="7"/>
  <c r="AP62" i="7"/>
  <c r="AP59" i="7"/>
  <c r="AP57" i="7"/>
  <c r="AN67" i="37"/>
  <c r="AO16" i="37"/>
  <c r="AM16" i="28"/>
  <c r="AL72" i="28"/>
  <c r="AM33" i="32"/>
  <c r="AM35" i="32" s="1"/>
  <c r="AM45" i="32" s="1"/>
  <c r="AL78" i="32"/>
  <c r="AL26" i="34" s="1"/>
  <c r="AL75" i="34"/>
  <c r="AM19" i="34"/>
  <c r="AP5" i="37"/>
  <c r="AO56" i="37"/>
  <c r="AM33" i="7"/>
  <c r="AM35" i="7" s="1"/>
  <c r="AM45" i="7" s="1"/>
  <c r="AL78" i="7"/>
  <c r="AL26" i="28" s="1"/>
  <c r="AP61" i="34"/>
  <c r="AQ5" i="34"/>
  <c r="AM21" i="28"/>
  <c r="AL77" i="28"/>
  <c r="AL76" i="28"/>
  <c r="AM20" i="28"/>
  <c r="AQ60" i="32"/>
  <c r="AQ68" i="32"/>
  <c r="AQ59" i="32"/>
  <c r="AQ72" i="32"/>
  <c r="AQ65" i="32"/>
  <c r="AQ75" i="32"/>
  <c r="AR54" i="32"/>
  <c r="AQ74" i="32"/>
  <c r="AQ67" i="32"/>
  <c r="AQ61" i="32"/>
  <c r="AQ71" i="32"/>
  <c r="AQ58" i="32"/>
  <c r="AQ64" i="32"/>
  <c r="AQ57" i="32"/>
  <c r="AQ70" i="32"/>
  <c r="AQ66" i="32"/>
  <c r="AQ73" i="32"/>
  <c r="AQ62" i="32"/>
  <c r="AN9" i="28"/>
  <c r="AM65" i="28"/>
  <c r="AM69" i="34"/>
  <c r="AN13" i="34"/>
  <c r="AN60" i="37"/>
  <c r="AO9" i="37"/>
  <c r="AW32" i="35"/>
  <c r="AV34" i="35"/>
  <c r="AV36" i="35" s="1"/>
  <c r="AL79" i="28"/>
  <c r="AM23" i="28"/>
  <c r="AM77" i="34"/>
  <c r="AN21" i="34"/>
  <c r="AM74" i="34"/>
  <c r="AN18" i="34"/>
  <c r="AN20" i="32"/>
  <c r="AM69" i="32"/>
  <c r="AO64" i="37"/>
  <c r="AP13" i="37"/>
  <c r="AO63" i="32"/>
  <c r="AP10" i="32"/>
  <c r="AO16" i="32"/>
  <c r="AO65" i="34"/>
  <c r="AP9" i="34"/>
  <c r="AQ63" i="37" l="1"/>
  <c r="AR12" i="37"/>
  <c r="AX19" i="35"/>
  <c r="AW25" i="35"/>
  <c r="AW60" i="35"/>
  <c r="AO61" i="37"/>
  <c r="AP10" i="37"/>
  <c r="AK83" i="28"/>
  <c r="AM73" i="37"/>
  <c r="AR11" i="37"/>
  <c r="AQ62" i="37"/>
  <c r="AO68" i="37"/>
  <c r="AP17" i="37"/>
  <c r="AP72" i="37"/>
  <c r="AQ21" i="37"/>
  <c r="AP6" i="37"/>
  <c r="AO57" i="37"/>
  <c r="AP8" i="37"/>
  <c r="AO59" i="37"/>
  <c r="AL82" i="28"/>
  <c r="AM81" i="34"/>
  <c r="AL81" i="28"/>
  <c r="AL27" i="28"/>
  <c r="AM80" i="28"/>
  <c r="AO71" i="37"/>
  <c r="AP20" i="37"/>
  <c r="AM8" i="28"/>
  <c r="AL64" i="28"/>
  <c r="AL75" i="28"/>
  <c r="AM19" i="28"/>
  <c r="AO21" i="34"/>
  <c r="AN77" i="34"/>
  <c r="AN20" i="28"/>
  <c r="AM76" i="28"/>
  <c r="AO67" i="37"/>
  <c r="AP16" i="37"/>
  <c r="AQ10" i="32"/>
  <c r="AP16" i="32"/>
  <c r="AP63" i="32"/>
  <c r="AN65" i="28"/>
  <c r="AO9" i="28"/>
  <c r="AN18" i="28"/>
  <c r="AM74" i="28"/>
  <c r="AN13" i="28"/>
  <c r="AM69" i="28"/>
  <c r="AN68" i="28"/>
  <c r="AO12" i="28"/>
  <c r="AM62" i="28"/>
  <c r="AN6" i="28"/>
  <c r="AP69" i="37"/>
  <c r="AQ18" i="37"/>
  <c r="AM80" i="34"/>
  <c r="AN66" i="34"/>
  <c r="AO10" i="34"/>
  <c r="AO32" i="32"/>
  <c r="AN77" i="32"/>
  <c r="AN25" i="34" s="1"/>
  <c r="AO15" i="28"/>
  <c r="AN71" i="28"/>
  <c r="AM76" i="34"/>
  <c r="AN20" i="34"/>
  <c r="AN23" i="34"/>
  <c r="AM79" i="34"/>
  <c r="AN71" i="34"/>
  <c r="AO15" i="34"/>
  <c r="AM75" i="34"/>
  <c r="AN19" i="34"/>
  <c r="AO62" i="34"/>
  <c r="AP6" i="34"/>
  <c r="AO20" i="7"/>
  <c r="AN69" i="7"/>
  <c r="AK83" i="34"/>
  <c r="AO65" i="37"/>
  <c r="AP14" i="37"/>
  <c r="AQ13" i="37"/>
  <c r="AP64" i="37"/>
  <c r="AR60" i="32"/>
  <c r="AR62" i="32"/>
  <c r="AR61" i="32"/>
  <c r="AR59" i="32"/>
  <c r="AS54" i="32"/>
  <c r="AR72" i="32"/>
  <c r="AR75" i="32"/>
  <c r="AR71" i="32"/>
  <c r="AR64" i="32"/>
  <c r="AR58" i="32"/>
  <c r="AR73" i="32"/>
  <c r="AR57" i="32"/>
  <c r="AR70" i="32"/>
  <c r="AR68" i="32"/>
  <c r="AR74" i="32"/>
  <c r="AR67" i="32"/>
  <c r="AR65" i="32"/>
  <c r="AR66" i="32"/>
  <c r="AL63" i="28"/>
  <c r="AM7" i="28"/>
  <c r="AM7" i="34"/>
  <c r="AL63" i="34"/>
  <c r="AL27" i="34"/>
  <c r="AL64" i="34"/>
  <c r="AM8" i="34"/>
  <c r="AO16" i="7"/>
  <c r="AP10" i="7"/>
  <c r="AP43" i="7" s="1"/>
  <c r="AO63" i="7"/>
  <c r="AN16" i="28"/>
  <c r="AM72" i="28"/>
  <c r="AN72" i="34"/>
  <c r="AO16" i="34"/>
  <c r="AQ61" i="34"/>
  <c r="AR5" i="34"/>
  <c r="AW34" i="35"/>
  <c r="AW36" i="35" s="1"/>
  <c r="AX32" i="35"/>
  <c r="AO68" i="34"/>
  <c r="AP12" i="34"/>
  <c r="AY15" i="35"/>
  <c r="AY54" i="35"/>
  <c r="AM70" i="28"/>
  <c r="AN14" i="28"/>
  <c r="AN23" i="28"/>
  <c r="AM79" i="28"/>
  <c r="AM77" i="28"/>
  <c r="AN21" i="28"/>
  <c r="AO20" i="32"/>
  <c r="AN69" i="32"/>
  <c r="AN33" i="32"/>
  <c r="AM78" i="32"/>
  <c r="AO31" i="7"/>
  <c r="AN76" i="7"/>
  <c r="AN24" i="28" s="1"/>
  <c r="AN78" i="34"/>
  <c r="AO22" i="34"/>
  <c r="AO70" i="37"/>
  <c r="AP19" i="37"/>
  <c r="AO14" i="34"/>
  <c r="AN70" i="34"/>
  <c r="AO31" i="32"/>
  <c r="AN76" i="32"/>
  <c r="AN24" i="34" s="1"/>
  <c r="AN66" i="28"/>
  <c r="AO10" i="28"/>
  <c r="AN67" i="34"/>
  <c r="AO11" i="34"/>
  <c r="AM67" i="28"/>
  <c r="AN11" i="28"/>
  <c r="AP43" i="32"/>
  <c r="AM26" i="34"/>
  <c r="AL82" i="34"/>
  <c r="AP65" i="34"/>
  <c r="AQ9" i="34"/>
  <c r="AP9" i="37"/>
  <c r="AO60" i="37"/>
  <c r="AN33" i="7"/>
  <c r="AM78" i="7"/>
  <c r="AM26" i="28" s="1"/>
  <c r="AO61" i="28"/>
  <c r="AP5" i="28"/>
  <c r="AQ41" i="7"/>
  <c r="AQ43" i="32"/>
  <c r="AR41" i="32"/>
  <c r="AO18" i="34"/>
  <c r="AN74" i="34"/>
  <c r="AN69" i="34"/>
  <c r="AO13" i="34"/>
  <c r="AP56" i="37"/>
  <c r="AQ5" i="37"/>
  <c r="AQ58" i="7"/>
  <c r="AR54" i="7"/>
  <c r="AQ74" i="7"/>
  <c r="AQ73" i="7"/>
  <c r="AQ72" i="7"/>
  <c r="AQ71" i="7"/>
  <c r="AQ64" i="7"/>
  <c r="AQ61" i="7"/>
  <c r="AQ60" i="7"/>
  <c r="AQ62" i="7"/>
  <c r="AQ75" i="7"/>
  <c r="AQ57" i="7"/>
  <c r="AQ66" i="7"/>
  <c r="AQ70" i="7"/>
  <c r="AQ67" i="7"/>
  <c r="AQ59" i="7"/>
  <c r="AQ68" i="7"/>
  <c r="AQ65" i="7"/>
  <c r="AL73" i="28"/>
  <c r="AM17" i="28"/>
  <c r="AO15" i="37"/>
  <c r="AN66" i="37"/>
  <c r="AM17" i="34"/>
  <c r="AL73" i="34"/>
  <c r="AN32" i="7"/>
  <c r="AN35" i="7" s="1"/>
  <c r="AN45" i="7" s="1"/>
  <c r="AM77" i="7"/>
  <c r="AM25" i="28" s="1"/>
  <c r="AN78" i="28"/>
  <c r="AO22" i="28"/>
  <c r="AN58" i="37"/>
  <c r="AO7" i="37"/>
  <c r="AN22" i="37"/>
  <c r="AX60" i="35" l="1"/>
  <c r="AY19" i="35"/>
  <c r="AX25" i="35"/>
  <c r="AR63" i="37"/>
  <c r="AS12" i="37"/>
  <c r="AQ10" i="37"/>
  <c r="AP61" i="37"/>
  <c r="AL83" i="28"/>
  <c r="AQ8" i="37"/>
  <c r="AP59" i="37"/>
  <c r="AQ6" i="37"/>
  <c r="AP57" i="37"/>
  <c r="AR21" i="37"/>
  <c r="AQ72" i="37"/>
  <c r="AQ17" i="37"/>
  <c r="AP68" i="37"/>
  <c r="AN73" i="37"/>
  <c r="AR62" i="37"/>
  <c r="AS11" i="37"/>
  <c r="AN80" i="28"/>
  <c r="AN81" i="34"/>
  <c r="AM82" i="28"/>
  <c r="AM81" i="28"/>
  <c r="AO69" i="34"/>
  <c r="AP13" i="34"/>
  <c r="AQ5" i="28"/>
  <c r="AP61" i="28"/>
  <c r="AM82" i="34"/>
  <c r="AP20" i="32"/>
  <c r="AO69" i="32"/>
  <c r="AY32" i="35"/>
  <c r="AY34" i="35" s="1"/>
  <c r="J10" i="13" s="1"/>
  <c r="J40" i="13" s="1"/>
  <c r="AX34" i="35"/>
  <c r="AX36" i="35" s="1"/>
  <c r="AN8" i="34"/>
  <c r="AM64" i="34"/>
  <c r="AP15" i="34"/>
  <c r="AO71" i="34"/>
  <c r="AP15" i="28"/>
  <c r="AO71" i="28"/>
  <c r="AO68" i="28"/>
  <c r="AP12" i="28"/>
  <c r="AQ63" i="32"/>
  <c r="AR10" i="32"/>
  <c r="AR43" i="32" s="1"/>
  <c r="AQ16" i="32"/>
  <c r="AQ20" i="37"/>
  <c r="AP71" i="37"/>
  <c r="AN77" i="28"/>
  <c r="AO21" i="28"/>
  <c r="AR61" i="34"/>
  <c r="AL83" i="34"/>
  <c r="AS71" i="32"/>
  <c r="AS65" i="32"/>
  <c r="AS73" i="32"/>
  <c r="AS72" i="32"/>
  <c r="AS67" i="32"/>
  <c r="AS66" i="32"/>
  <c r="AS59" i="32"/>
  <c r="AS61" i="32"/>
  <c r="AS70" i="32"/>
  <c r="AS74" i="32"/>
  <c r="AT54" i="32"/>
  <c r="AS75" i="32"/>
  <c r="AS68" i="32"/>
  <c r="AS60" i="32"/>
  <c r="AS64" i="32"/>
  <c r="AS58" i="32"/>
  <c r="AS62" i="32"/>
  <c r="AS57" i="32"/>
  <c r="AS5" i="34" s="1"/>
  <c r="AO66" i="34"/>
  <c r="AP10" i="34"/>
  <c r="AN69" i="28"/>
  <c r="AO13" i="28"/>
  <c r="AN79" i="28"/>
  <c r="AO23" i="28"/>
  <c r="AN7" i="34"/>
  <c r="AM63" i="34"/>
  <c r="AM27" i="34"/>
  <c r="AN76" i="28"/>
  <c r="AO20" i="28"/>
  <c r="AP16" i="34"/>
  <c r="AO72" i="34"/>
  <c r="AN80" i="34"/>
  <c r="AO18" i="28"/>
  <c r="AN74" i="28"/>
  <c r="AO78" i="28"/>
  <c r="AP22" i="28"/>
  <c r="AN67" i="28"/>
  <c r="AO11" i="28"/>
  <c r="AO67" i="34"/>
  <c r="AP11" i="34"/>
  <c r="AP20" i="7"/>
  <c r="AO69" i="7"/>
  <c r="AO23" i="34"/>
  <c r="AN79" i="34"/>
  <c r="AO77" i="34"/>
  <c r="AP21" i="34"/>
  <c r="AP67" i="37"/>
  <c r="AQ16" i="37"/>
  <c r="AO33" i="7"/>
  <c r="AN78" i="7"/>
  <c r="AN26" i="28" s="1"/>
  <c r="AO74" i="34"/>
  <c r="AP18" i="34"/>
  <c r="AP31" i="7"/>
  <c r="AO76" i="7"/>
  <c r="AO24" i="28" s="1"/>
  <c r="AR18" i="37"/>
  <c r="AQ69" i="37"/>
  <c r="AO78" i="34"/>
  <c r="AP22" i="34"/>
  <c r="AP15" i="37"/>
  <c r="AO66" i="37"/>
  <c r="AS41" i="32"/>
  <c r="AP60" i="37"/>
  <c r="AQ9" i="37"/>
  <c r="AO66" i="28"/>
  <c r="AP10" i="28"/>
  <c r="AO16" i="28"/>
  <c r="AN72" i="28"/>
  <c r="AM63" i="28"/>
  <c r="AN7" i="28"/>
  <c r="AQ6" i="34"/>
  <c r="AP62" i="34"/>
  <c r="AO65" i="28"/>
  <c r="AP9" i="28"/>
  <c r="AN19" i="28"/>
  <c r="AM75" i="28"/>
  <c r="AO70" i="34"/>
  <c r="AP14" i="34"/>
  <c r="AO32" i="7"/>
  <c r="AN77" i="7"/>
  <c r="AN25" i="28" s="1"/>
  <c r="AM73" i="34"/>
  <c r="AN17" i="34"/>
  <c r="AQ65" i="34"/>
  <c r="AR9" i="34"/>
  <c r="AO33" i="32"/>
  <c r="AO35" i="32" s="1"/>
  <c r="AO45" i="32" s="1"/>
  <c r="AN78" i="32"/>
  <c r="AN26" i="34" s="1"/>
  <c r="AP68" i="34"/>
  <c r="AQ12" i="34"/>
  <c r="AQ64" i="37"/>
  <c r="AR13" i="37"/>
  <c r="AN76" i="34"/>
  <c r="AO20" i="34"/>
  <c r="AM27" i="28"/>
  <c r="AP70" i="37"/>
  <c r="AQ19" i="37"/>
  <c r="AP32" i="32"/>
  <c r="AO77" i="32"/>
  <c r="AO25" i="34" s="1"/>
  <c r="AR71" i="7"/>
  <c r="AR75" i="7"/>
  <c r="AR57" i="7"/>
  <c r="AR67" i="7"/>
  <c r="AR62" i="7"/>
  <c r="AR72" i="7"/>
  <c r="AR65" i="7"/>
  <c r="AR74" i="7"/>
  <c r="AR73" i="7"/>
  <c r="AR70" i="7"/>
  <c r="AR60" i="7"/>
  <c r="AR68" i="7"/>
  <c r="AR61" i="7"/>
  <c r="AR59" i="7"/>
  <c r="AS54" i="7"/>
  <c r="AR64" i="7"/>
  <c r="AR66" i="7"/>
  <c r="AR58" i="7"/>
  <c r="AN17" i="28"/>
  <c r="AM73" i="28"/>
  <c r="AR5" i="37"/>
  <c r="AQ56" i="37"/>
  <c r="AR41" i="7"/>
  <c r="AQ10" i="7"/>
  <c r="AP16" i="7"/>
  <c r="AP63" i="7"/>
  <c r="AP65" i="37"/>
  <c r="AQ14" i="37"/>
  <c r="AN75" i="34"/>
  <c r="AO19" i="34"/>
  <c r="AN62" i="28"/>
  <c r="AO6" i="28"/>
  <c r="AN70" i="28"/>
  <c r="AO14" i="28"/>
  <c r="AO58" i="37"/>
  <c r="AP7" i="37"/>
  <c r="AO22" i="37"/>
  <c r="AP31" i="32"/>
  <c r="AO76" i="32"/>
  <c r="AO24" i="34" s="1"/>
  <c r="AN35" i="32"/>
  <c r="AN45" i="32" s="1"/>
  <c r="AN8" i="28"/>
  <c r="AM64" i="28"/>
  <c r="AO73" i="37" l="1"/>
  <c r="AT12" i="37"/>
  <c r="AS63" i="37"/>
  <c r="AY25" i="35"/>
  <c r="AY60" i="35"/>
  <c r="AM83" i="28"/>
  <c r="AR10" i="37"/>
  <c r="AQ61" i="37"/>
  <c r="AO35" i="7"/>
  <c r="AO45" i="7" s="1"/>
  <c r="AT11" i="37"/>
  <c r="AS62" i="37"/>
  <c r="AQ68" i="37"/>
  <c r="AR17" i="37"/>
  <c r="AR72" i="37"/>
  <c r="AS21" i="37"/>
  <c r="AQ57" i="37"/>
  <c r="AR6" i="37"/>
  <c r="AQ59" i="37"/>
  <c r="AR8" i="37"/>
  <c r="AN82" i="34"/>
  <c r="AN82" i="28"/>
  <c r="AS61" i="34"/>
  <c r="AO81" i="34"/>
  <c r="AN27" i="28"/>
  <c r="AN81" i="28"/>
  <c r="AO80" i="28"/>
  <c r="AQ31" i="7"/>
  <c r="AP76" i="7"/>
  <c r="AP24" i="28" s="1"/>
  <c r="AP58" i="37"/>
  <c r="AQ7" i="37"/>
  <c r="AP22" i="37"/>
  <c r="AP18" i="28"/>
  <c r="AO74" i="28"/>
  <c r="AQ61" i="28"/>
  <c r="AR5" i="28"/>
  <c r="AP23" i="28"/>
  <c r="AO79" i="28"/>
  <c r="AO7" i="28"/>
  <c r="AN63" i="28"/>
  <c r="AP66" i="37"/>
  <c r="AQ15" i="37"/>
  <c r="AO69" i="28"/>
  <c r="AP13" i="28"/>
  <c r="AN64" i="34"/>
  <c r="AO8" i="34"/>
  <c r="AP71" i="34"/>
  <c r="AQ15" i="34"/>
  <c r="AQ20" i="7"/>
  <c r="AP69" i="7"/>
  <c r="AQ71" i="37"/>
  <c r="AR20" i="37"/>
  <c r="AP21" i="28"/>
  <c r="AO77" i="28"/>
  <c r="AP74" i="34"/>
  <c r="AQ18" i="34"/>
  <c r="AS13" i="37"/>
  <c r="AR64" i="37"/>
  <c r="AP33" i="7"/>
  <c r="AO78" i="7"/>
  <c r="AO26" i="28" s="1"/>
  <c r="AP67" i="34"/>
  <c r="AQ11" i="34"/>
  <c r="AQ10" i="34"/>
  <c r="AP66" i="34"/>
  <c r="AT62" i="32"/>
  <c r="AT58" i="32"/>
  <c r="AT65" i="32"/>
  <c r="AT64" i="32"/>
  <c r="AT57" i="32"/>
  <c r="AT5" i="34" s="1"/>
  <c r="AT72" i="32"/>
  <c r="AT75" i="32"/>
  <c r="AT61" i="32"/>
  <c r="AT60" i="32"/>
  <c r="AT68" i="32"/>
  <c r="AT66" i="32"/>
  <c r="AU54" i="32"/>
  <c r="AT59" i="32"/>
  <c r="AT67" i="32"/>
  <c r="AT74" i="32"/>
  <c r="AT70" i="32"/>
  <c r="AT71" i="32"/>
  <c r="AT73" i="32"/>
  <c r="AP70" i="34"/>
  <c r="AQ14" i="34"/>
  <c r="AP78" i="34"/>
  <c r="AQ22" i="34"/>
  <c r="AR16" i="37"/>
  <c r="AQ67" i="37"/>
  <c r="AQ16" i="34"/>
  <c r="AP72" i="34"/>
  <c r="AR63" i="32"/>
  <c r="AS10" i="32"/>
  <c r="AR16" i="32"/>
  <c r="AO17" i="34"/>
  <c r="AN73" i="34"/>
  <c r="AO80" i="34"/>
  <c r="AP20" i="34"/>
  <c r="AO76" i="34"/>
  <c r="AP69" i="34"/>
  <c r="AQ13" i="34"/>
  <c r="AS41" i="7"/>
  <c r="AO62" i="28"/>
  <c r="AP6" i="28"/>
  <c r="AR12" i="34"/>
  <c r="AQ68" i="34"/>
  <c r="AP11" i="28"/>
  <c r="AO67" i="28"/>
  <c r="AP20" i="28"/>
  <c r="AO76" i="28"/>
  <c r="AO79" i="34"/>
  <c r="AP23" i="34"/>
  <c r="AP14" i="28"/>
  <c r="AO70" i="28"/>
  <c r="AR10" i="7"/>
  <c r="AQ63" i="7"/>
  <c r="AQ16" i="7"/>
  <c r="AS66" i="7"/>
  <c r="AS67" i="7"/>
  <c r="AS65" i="7"/>
  <c r="AS58" i="7"/>
  <c r="AS74" i="7"/>
  <c r="AS59" i="7"/>
  <c r="AS73" i="7"/>
  <c r="AS68" i="7"/>
  <c r="AS71" i="7"/>
  <c r="AS61" i="7"/>
  <c r="AS70" i="7"/>
  <c r="AS57" i="7"/>
  <c r="AT54" i="7"/>
  <c r="AS72" i="7"/>
  <c r="AS75" i="7"/>
  <c r="AS60" i="7"/>
  <c r="AS64" i="7"/>
  <c r="AS62" i="7"/>
  <c r="AS5" i="37"/>
  <c r="AR56" i="37"/>
  <c r="AP66" i="28"/>
  <c r="AQ10" i="28"/>
  <c r="AQ21" i="34"/>
  <c r="AP77" i="34"/>
  <c r="AQ12" i="28"/>
  <c r="AP68" i="28"/>
  <c r="AQ20" i="32"/>
  <c r="AP69" i="32"/>
  <c r="AP16" i="28"/>
  <c r="AO72" i="28"/>
  <c r="AO75" i="34"/>
  <c r="AP19" i="34"/>
  <c r="AO19" i="28"/>
  <c r="AN75" i="28"/>
  <c r="AS18" i="37"/>
  <c r="AR69" i="37"/>
  <c r="AQ22" i="28"/>
  <c r="AP78" i="28"/>
  <c r="AT41" i="32"/>
  <c r="AO8" i="28"/>
  <c r="AN64" i="28"/>
  <c r="AQ31" i="32"/>
  <c r="AP76" i="32"/>
  <c r="AP24" i="34" s="1"/>
  <c r="AO17" i="28"/>
  <c r="AN73" i="28"/>
  <c r="AQ32" i="32"/>
  <c r="AP77" i="32"/>
  <c r="AP25" i="34" s="1"/>
  <c r="AP33" i="32"/>
  <c r="AP35" i="32" s="1"/>
  <c r="AP45" i="32" s="1"/>
  <c r="AO78" i="32"/>
  <c r="AO26" i="34" s="1"/>
  <c r="AP65" i="28"/>
  <c r="AQ9" i="28"/>
  <c r="AQ60" i="37"/>
  <c r="AR9" i="37"/>
  <c r="AM83" i="34"/>
  <c r="AQ62" i="34"/>
  <c r="AR6" i="34"/>
  <c r="AQ43" i="7"/>
  <c r="AP32" i="7"/>
  <c r="AO77" i="7"/>
  <c r="AO25" i="28" s="1"/>
  <c r="AQ65" i="37"/>
  <c r="AR14" i="37"/>
  <c r="AR19" i="37"/>
  <c r="AQ70" i="37"/>
  <c r="AS9" i="34"/>
  <c r="AR65" i="34"/>
  <c r="AO7" i="34"/>
  <c r="AN63" i="34"/>
  <c r="AN27" i="34"/>
  <c r="AP71" i="28"/>
  <c r="AQ15" i="28"/>
  <c r="J9" i="13" l="1"/>
  <c r="J39" i="13" s="1"/>
  <c r="AY36" i="35"/>
  <c r="AT63" i="37"/>
  <c r="AU12" i="37"/>
  <c r="AO27" i="28"/>
  <c r="AN83" i="28"/>
  <c r="AR61" i="37"/>
  <c r="AS10" i="37"/>
  <c r="AR59" i="37"/>
  <c r="AS8" i="37"/>
  <c r="AR57" i="37"/>
  <c r="AS6" i="37"/>
  <c r="AT21" i="37"/>
  <c r="AS72" i="37"/>
  <c r="AS17" i="37"/>
  <c r="AR68" i="37"/>
  <c r="AU11" i="37"/>
  <c r="AT62" i="37"/>
  <c r="AO82" i="28"/>
  <c r="AT61" i="34"/>
  <c r="AO82" i="34"/>
  <c r="AP80" i="28"/>
  <c r="AO81" i="28"/>
  <c r="AT9" i="34"/>
  <c r="AS65" i="34"/>
  <c r="AR32" i="32"/>
  <c r="AQ77" i="32"/>
  <c r="AQ25" i="34" s="1"/>
  <c r="AP67" i="28"/>
  <c r="AQ11" i="28"/>
  <c r="AU73" i="32"/>
  <c r="AU74" i="32"/>
  <c r="AU66" i="32"/>
  <c r="AU58" i="32"/>
  <c r="AU61" i="32"/>
  <c r="AU62" i="32"/>
  <c r="AU68" i="32"/>
  <c r="AU71" i="32"/>
  <c r="AU60" i="32"/>
  <c r="AU72" i="32"/>
  <c r="AU57" i="32"/>
  <c r="AU5" i="34" s="1"/>
  <c r="AV54" i="32"/>
  <c r="AU59" i="32"/>
  <c r="AU65" i="32"/>
  <c r="AU75" i="32"/>
  <c r="AU70" i="32"/>
  <c r="AU64" i="32"/>
  <c r="AU67" i="32"/>
  <c r="AR71" i="37"/>
  <c r="AS20" i="37"/>
  <c r="AR65" i="37"/>
  <c r="AS14" i="37"/>
  <c r="AQ78" i="28"/>
  <c r="AR22" i="28"/>
  <c r="AR16" i="7"/>
  <c r="AR63" i="7"/>
  <c r="AS10" i="7"/>
  <c r="AS43" i="7" s="1"/>
  <c r="AP17" i="34"/>
  <c r="AO73" i="34"/>
  <c r="AQ66" i="34"/>
  <c r="AR10" i="34"/>
  <c r="AR15" i="37"/>
  <c r="AQ66" i="37"/>
  <c r="AP74" i="28"/>
  <c r="AQ18" i="28"/>
  <c r="AR20" i="32"/>
  <c r="AQ69" i="32"/>
  <c r="AQ13" i="28"/>
  <c r="AP69" i="28"/>
  <c r="AP81" i="34"/>
  <c r="AQ68" i="28"/>
  <c r="AR12" i="28"/>
  <c r="AP70" i="28"/>
  <c r="AQ14" i="28"/>
  <c r="AS16" i="32"/>
  <c r="AT10" i="32"/>
  <c r="AT43" i="32" s="1"/>
  <c r="AS63" i="32"/>
  <c r="AR7" i="37"/>
  <c r="AQ58" i="37"/>
  <c r="AQ22" i="37"/>
  <c r="AP77" i="28"/>
  <c r="AQ21" i="28"/>
  <c r="AQ6" i="28"/>
  <c r="AP62" i="28"/>
  <c r="AQ77" i="34"/>
  <c r="AR21" i="34"/>
  <c r="AO63" i="28"/>
  <c r="AP7" i="28"/>
  <c r="AP73" i="37"/>
  <c r="AP80" i="34"/>
  <c r="AP17" i="28"/>
  <c r="AO73" i="28"/>
  <c r="AQ67" i="34"/>
  <c r="AR11" i="34"/>
  <c r="AP79" i="34"/>
  <c r="AQ23" i="34"/>
  <c r="AQ32" i="7"/>
  <c r="AQ35" i="7" s="1"/>
  <c r="AQ45" i="7" s="1"/>
  <c r="AP77" i="7"/>
  <c r="AP25" i="28" s="1"/>
  <c r="AO75" i="28"/>
  <c r="AP19" i="28"/>
  <c r="AR10" i="28"/>
  <c r="AQ66" i="28"/>
  <c r="AR43" i="7"/>
  <c r="AQ33" i="7"/>
  <c r="AP78" i="7"/>
  <c r="AP26" i="28" s="1"/>
  <c r="AP35" i="7"/>
  <c r="AP45" i="7" s="1"/>
  <c r="AR68" i="34"/>
  <c r="AS12" i="34"/>
  <c r="AR31" i="32"/>
  <c r="AQ76" i="32"/>
  <c r="AQ24" i="34" s="1"/>
  <c r="AR60" i="37"/>
  <c r="AS9" i="37"/>
  <c r="AQ65" i="28"/>
  <c r="AR9" i="28"/>
  <c r="AO64" i="28"/>
  <c r="AP8" i="28"/>
  <c r="AP75" i="34"/>
  <c r="AQ19" i="34"/>
  <c r="AT71" i="7"/>
  <c r="AT58" i="7"/>
  <c r="AT65" i="7"/>
  <c r="AT66" i="7"/>
  <c r="AT67" i="7"/>
  <c r="AT57" i="7"/>
  <c r="AT68" i="7"/>
  <c r="AT61" i="7"/>
  <c r="AT72" i="7"/>
  <c r="AT73" i="7"/>
  <c r="AT70" i="7"/>
  <c r="AT60" i="7"/>
  <c r="AT59" i="7"/>
  <c r="AT74" i="7"/>
  <c r="AT75" i="7"/>
  <c r="AT62" i="7"/>
  <c r="AT64" i="7"/>
  <c r="AU54" i="7"/>
  <c r="AQ69" i="34"/>
  <c r="AR13" i="34"/>
  <c r="AQ72" i="34"/>
  <c r="AR16" i="34"/>
  <c r="AR20" i="7"/>
  <c r="AQ69" i="7"/>
  <c r="AP79" i="28"/>
  <c r="AQ23" i="28"/>
  <c r="AR31" i="7"/>
  <c r="AQ76" i="7"/>
  <c r="AQ24" i="28" s="1"/>
  <c r="AQ70" i="34"/>
  <c r="AR14" i="34"/>
  <c r="AR70" i="37"/>
  <c r="AS19" i="37"/>
  <c r="AQ71" i="28"/>
  <c r="AR15" i="28"/>
  <c r="AN83" i="34"/>
  <c r="AT13" i="37"/>
  <c r="AS64" i="37"/>
  <c r="AQ71" i="34"/>
  <c r="AR15" i="34"/>
  <c r="AT18" i="37"/>
  <c r="AS69" i="37"/>
  <c r="AT41" i="7"/>
  <c r="AO63" i="34"/>
  <c r="AP7" i="34"/>
  <c r="AO27" i="34"/>
  <c r="AR62" i="34"/>
  <c r="AS6" i="34"/>
  <c r="AQ33" i="32"/>
  <c r="AP78" i="32"/>
  <c r="AP26" i="34" s="1"/>
  <c r="AU41" i="32"/>
  <c r="AS56" i="37"/>
  <c r="AT5" i="37"/>
  <c r="AP76" i="28"/>
  <c r="AQ20" i="28"/>
  <c r="AR67" i="37"/>
  <c r="AS16" i="37"/>
  <c r="AQ74" i="34"/>
  <c r="AR18" i="34"/>
  <c r="AR61" i="28"/>
  <c r="AS5" i="28"/>
  <c r="AS43" i="32"/>
  <c r="AP72" i="28"/>
  <c r="AQ16" i="28"/>
  <c r="AP76" i="34"/>
  <c r="AQ20" i="34"/>
  <c r="AQ78" i="34"/>
  <c r="AR22" i="34"/>
  <c r="AO64" i="34"/>
  <c r="AP8" i="34"/>
  <c r="AV12" i="37" l="1"/>
  <c r="AU63" i="37"/>
  <c r="AO83" i="28"/>
  <c r="AS61" i="37"/>
  <c r="AT10" i="37"/>
  <c r="AV11" i="37"/>
  <c r="AU62" i="37"/>
  <c r="AQ73" i="37"/>
  <c r="AT17" i="37"/>
  <c r="AS68" i="37"/>
  <c r="AT72" i="37"/>
  <c r="AU21" i="37"/>
  <c r="AT6" i="37"/>
  <c r="AS57" i="37"/>
  <c r="AT8" i="37"/>
  <c r="AS59" i="37"/>
  <c r="AP82" i="34"/>
  <c r="AP81" i="28"/>
  <c r="AQ80" i="34"/>
  <c r="AQ80" i="28"/>
  <c r="AU61" i="34"/>
  <c r="AV5" i="34"/>
  <c r="AP82" i="28"/>
  <c r="AQ79" i="28"/>
  <c r="AR23" i="28"/>
  <c r="AR66" i="28"/>
  <c r="AS10" i="28"/>
  <c r="AT65" i="34"/>
  <c r="AU9" i="34"/>
  <c r="AQ19" i="28"/>
  <c r="AP75" i="28"/>
  <c r="AQ7" i="28"/>
  <c r="AP63" i="28"/>
  <c r="AS10" i="34"/>
  <c r="AR66" i="34"/>
  <c r="AU41" i="7"/>
  <c r="AQ81" i="34"/>
  <c r="AT20" i="37"/>
  <c r="AS71" i="37"/>
  <c r="AS12" i="28"/>
  <c r="AR68" i="28"/>
  <c r="AS31" i="32"/>
  <c r="AR76" i="32"/>
  <c r="AR24" i="34" s="1"/>
  <c r="AR32" i="7"/>
  <c r="AQ77" i="7"/>
  <c r="AQ25" i="28" s="1"/>
  <c r="AS21" i="34"/>
  <c r="AR77" i="34"/>
  <c r="AR58" i="37"/>
  <c r="AS7" i="37"/>
  <c r="AR22" i="37"/>
  <c r="AS18" i="34"/>
  <c r="AR74" i="34"/>
  <c r="AT12" i="34"/>
  <c r="AS68" i="34"/>
  <c r="AQ79" i="34"/>
  <c r="AR23" i="34"/>
  <c r="AP73" i="34"/>
  <c r="AQ17" i="34"/>
  <c r="AV71" i="32"/>
  <c r="AV66" i="32"/>
  <c r="AV73" i="32"/>
  <c r="AV58" i="32"/>
  <c r="AV67" i="32"/>
  <c r="AV60" i="32"/>
  <c r="AV64" i="32"/>
  <c r="AV57" i="32"/>
  <c r="AW54" i="32"/>
  <c r="AV62" i="32"/>
  <c r="AV61" i="32"/>
  <c r="AV65" i="32"/>
  <c r="AV72" i="32"/>
  <c r="AV70" i="32"/>
  <c r="AV75" i="32"/>
  <c r="AV74" i="32"/>
  <c r="AV59" i="32"/>
  <c r="AV68" i="32"/>
  <c r="AR11" i="28"/>
  <c r="AQ67" i="28"/>
  <c r="AV41" i="32"/>
  <c r="AT19" i="37"/>
  <c r="AS70" i="37"/>
  <c r="AP27" i="28"/>
  <c r="AR13" i="28"/>
  <c r="AQ69" i="28"/>
  <c r="AS16" i="7"/>
  <c r="AS63" i="7"/>
  <c r="AT10" i="7"/>
  <c r="AS15" i="28"/>
  <c r="AR71" i="28"/>
  <c r="AR66" i="37"/>
  <c r="AS15" i="37"/>
  <c r="AS61" i="28"/>
  <c r="AT5" i="28"/>
  <c r="AS67" i="37"/>
  <c r="AT16" i="37"/>
  <c r="AS15" i="34"/>
  <c r="AR71" i="34"/>
  <c r="AR70" i="34"/>
  <c r="AS14" i="34"/>
  <c r="AR69" i="34"/>
  <c r="AS13" i="34"/>
  <c r="AR19" i="34"/>
  <c r="AQ75" i="34"/>
  <c r="AR67" i="34"/>
  <c r="AS11" i="34"/>
  <c r="AT14" i="37"/>
  <c r="AS65" i="37"/>
  <c r="AR33" i="32"/>
  <c r="AR35" i="32" s="1"/>
  <c r="AR45" i="32" s="1"/>
  <c r="AQ78" i="32"/>
  <c r="AQ26" i="34" s="1"/>
  <c r="AT6" i="34"/>
  <c r="AS62" i="34"/>
  <c r="AR20" i="34"/>
  <c r="AQ76" i="34"/>
  <c r="AR6" i="28"/>
  <c r="AQ62" i="28"/>
  <c r="AT63" i="32"/>
  <c r="AT16" i="32"/>
  <c r="AU10" i="32"/>
  <c r="AU43" i="32" s="1"/>
  <c r="AS20" i="32"/>
  <c r="AR69" i="32"/>
  <c r="AS60" i="37"/>
  <c r="AT9" i="37"/>
  <c r="AS16" i="34"/>
  <c r="AR72" i="34"/>
  <c r="AQ8" i="28"/>
  <c r="AP64" i="28"/>
  <c r="AR33" i="7"/>
  <c r="AQ78" i="7"/>
  <c r="AQ26" i="28" s="1"/>
  <c r="AQ77" i="28"/>
  <c r="AR21" i="28"/>
  <c r="AQ35" i="32"/>
  <c r="AQ45" i="32" s="1"/>
  <c r="AS22" i="28"/>
  <c r="AR78" i="28"/>
  <c r="AQ8" i="34"/>
  <c r="AP64" i="34"/>
  <c r="AR20" i="28"/>
  <c r="AQ76" i="28"/>
  <c r="AP63" i="34"/>
  <c r="AQ7" i="34"/>
  <c r="AP27" i="34"/>
  <c r="AT64" i="37"/>
  <c r="AU13" i="37"/>
  <c r="AU73" i="7"/>
  <c r="AU72" i="7"/>
  <c r="AU71" i="7"/>
  <c r="AU67" i="7"/>
  <c r="AU58" i="7"/>
  <c r="AU64" i="7"/>
  <c r="AU68" i="7"/>
  <c r="AV54" i="7"/>
  <c r="AU75" i="7"/>
  <c r="AU66" i="7"/>
  <c r="AU61" i="7"/>
  <c r="AU74" i="7"/>
  <c r="AU70" i="7"/>
  <c r="AU62" i="7"/>
  <c r="AU65" i="7"/>
  <c r="AU57" i="7"/>
  <c r="AU60" i="7"/>
  <c r="AU59" i="7"/>
  <c r="AQ17" i="28"/>
  <c r="AP73" i="28"/>
  <c r="AR18" i="28"/>
  <c r="AQ74" i="28"/>
  <c r="AS32" i="32"/>
  <c r="AR77" i="32"/>
  <c r="AR25" i="34" s="1"/>
  <c r="AU18" i="37"/>
  <c r="AT69" i="37"/>
  <c r="AS20" i="7"/>
  <c r="AR69" i="7"/>
  <c r="AS22" i="34"/>
  <c r="AR78" i="34"/>
  <c r="AR16" i="28"/>
  <c r="AQ72" i="28"/>
  <c r="AT56" i="37"/>
  <c r="AU5" i="37"/>
  <c r="AO83" i="34"/>
  <c r="AS31" i="7"/>
  <c r="AR76" i="7"/>
  <c r="AR24" i="28" s="1"/>
  <c r="AR65" i="28"/>
  <c r="AS9" i="28"/>
  <c r="AQ70" i="28"/>
  <c r="AR14" i="28"/>
  <c r="AW12" i="37" l="1"/>
  <c r="AV63" i="37"/>
  <c r="AP83" i="28"/>
  <c r="AU10" i="37"/>
  <c r="AT61" i="37"/>
  <c r="AP83" i="34"/>
  <c r="AU8" i="37"/>
  <c r="AT59" i="37"/>
  <c r="AT57" i="37"/>
  <c r="AU6" i="37"/>
  <c r="AU72" i="37"/>
  <c r="AV21" i="37"/>
  <c r="AU17" i="37"/>
  <c r="AT68" i="37"/>
  <c r="AV62" i="37"/>
  <c r="AW11" i="37"/>
  <c r="AR80" i="34"/>
  <c r="AR80" i="28"/>
  <c r="AR81" i="34"/>
  <c r="AQ81" i="28"/>
  <c r="AQ27" i="28"/>
  <c r="AQ82" i="34"/>
  <c r="AS33" i="7"/>
  <c r="AR78" i="7"/>
  <c r="AR26" i="28" s="1"/>
  <c r="AU6" i="34"/>
  <c r="AT62" i="34"/>
  <c r="AT15" i="37"/>
  <c r="AS66" i="37"/>
  <c r="AW41" i="32"/>
  <c r="AS68" i="28"/>
  <c r="AT12" i="28"/>
  <c r="AQ75" i="28"/>
  <c r="AR19" i="28"/>
  <c r="AQ82" i="28"/>
  <c r="AT14" i="34"/>
  <c r="AS70" i="34"/>
  <c r="AS33" i="32"/>
  <c r="AS35" i="32" s="1"/>
  <c r="AS45" i="32" s="1"/>
  <c r="AR78" i="32"/>
  <c r="AR26" i="34" s="1"/>
  <c r="AU20" i="37"/>
  <c r="AT71" i="37"/>
  <c r="AT15" i="28"/>
  <c r="AS71" i="28"/>
  <c r="AS11" i="28"/>
  <c r="AR67" i="28"/>
  <c r="AS58" i="37"/>
  <c r="AT7" i="37"/>
  <c r="AS22" i="37"/>
  <c r="AU14" i="37"/>
  <c r="AT65" i="37"/>
  <c r="AT15" i="34"/>
  <c r="AS71" i="34"/>
  <c r="AU10" i="7"/>
  <c r="AT16" i="7"/>
  <c r="AT63" i="7"/>
  <c r="AW72" i="32"/>
  <c r="AW65" i="32"/>
  <c r="AW67" i="32"/>
  <c r="AW58" i="32"/>
  <c r="AW57" i="32"/>
  <c r="AW70" i="32"/>
  <c r="AW73" i="32"/>
  <c r="AW59" i="32"/>
  <c r="AW68" i="32"/>
  <c r="AW62" i="32"/>
  <c r="AW66" i="32"/>
  <c r="AW74" i="32"/>
  <c r="AW61" i="32"/>
  <c r="AW60" i="32"/>
  <c r="AW75" i="32"/>
  <c r="AW64" i="32"/>
  <c r="AW71" i="32"/>
  <c r="AX54" i="32"/>
  <c r="AR17" i="34"/>
  <c r="AQ73" i="34"/>
  <c r="AR73" i="37"/>
  <c r="AT32" i="32"/>
  <c r="AS77" i="32"/>
  <c r="AS25" i="34" s="1"/>
  <c r="AV41" i="7"/>
  <c r="AV18" i="37"/>
  <c r="AU69" i="37"/>
  <c r="AT22" i="28"/>
  <c r="AS78" i="28"/>
  <c r="AS6" i="28"/>
  <c r="AR62" i="28"/>
  <c r="AS77" i="34"/>
  <c r="AT21" i="34"/>
  <c r="AT43" i="7"/>
  <c r="AV10" i="32"/>
  <c r="AV43" i="32" s="1"/>
  <c r="AU16" i="32"/>
  <c r="AU63" i="32"/>
  <c r="AS72" i="34"/>
  <c r="AT16" i="34"/>
  <c r="AS78" i="34"/>
  <c r="AT22" i="34"/>
  <c r="AT11" i="34"/>
  <c r="AS67" i="34"/>
  <c r="AS66" i="28"/>
  <c r="AT10" i="28"/>
  <c r="AS20" i="28"/>
  <c r="AR76" i="28"/>
  <c r="AS14" i="28"/>
  <c r="AR70" i="28"/>
  <c r="AT60" i="37"/>
  <c r="AU9" i="37"/>
  <c r="AT9" i="28"/>
  <c r="AS65" i="28"/>
  <c r="AR74" i="28"/>
  <c r="AS18" i="28"/>
  <c r="AU64" i="37"/>
  <c r="AV13" i="37"/>
  <c r="AS13" i="28"/>
  <c r="AR69" i="28"/>
  <c r="AR79" i="34"/>
  <c r="AS23" i="34"/>
  <c r="AS32" i="7"/>
  <c r="AR77" i="7"/>
  <c r="AR25" i="28" s="1"/>
  <c r="AS66" i="34"/>
  <c r="AT10" i="34"/>
  <c r="AS74" i="34"/>
  <c r="AT18" i="34"/>
  <c r="AQ64" i="28"/>
  <c r="AR8" i="28"/>
  <c r="AR17" i="28"/>
  <c r="AQ73" i="28"/>
  <c r="AV60" i="7"/>
  <c r="AV72" i="7"/>
  <c r="AV75" i="7"/>
  <c r="AV58" i="7"/>
  <c r="AV65" i="7"/>
  <c r="AV74" i="7"/>
  <c r="AV67" i="7"/>
  <c r="AV66" i="7"/>
  <c r="AV70" i="7"/>
  <c r="AV61" i="7"/>
  <c r="AV68" i="7"/>
  <c r="AV57" i="7"/>
  <c r="AV71" i="7"/>
  <c r="AW54" i="7"/>
  <c r="AV73" i="7"/>
  <c r="AV62" i="7"/>
  <c r="AV59" i="7"/>
  <c r="AV64" i="7"/>
  <c r="AR77" i="28"/>
  <c r="AS21" i="28"/>
  <c r="AR76" i="34"/>
  <c r="AS20" i="34"/>
  <c r="AS23" i="28"/>
  <c r="AR79" i="28"/>
  <c r="AW5" i="34"/>
  <c r="AV61" i="34"/>
  <c r="AR72" i="28"/>
  <c r="AS16" i="28"/>
  <c r="AU16" i="37"/>
  <c r="AT67" i="37"/>
  <c r="AR35" i="7"/>
  <c r="AR45" i="7" s="1"/>
  <c r="AR75" i="34"/>
  <c r="AS19" i="34"/>
  <c r="AU5" i="28"/>
  <c r="AT61" i="28"/>
  <c r="AT31" i="32"/>
  <c r="AS76" i="32"/>
  <c r="AS24" i="34" s="1"/>
  <c r="AQ63" i="28"/>
  <c r="AR7" i="28"/>
  <c r="AV5" i="37"/>
  <c r="AU56" i="37"/>
  <c r="AU65" i="34"/>
  <c r="AV9" i="34"/>
  <c r="AR8" i="34"/>
  <c r="AQ64" i="34"/>
  <c r="AT31" i="7"/>
  <c r="AS76" i="7"/>
  <c r="AS24" i="28" s="1"/>
  <c r="AT20" i="7"/>
  <c r="AS69" i="7"/>
  <c r="AQ63" i="34"/>
  <c r="AR7" i="34"/>
  <c r="AQ27" i="34"/>
  <c r="AT20" i="32"/>
  <c r="AS69" i="32"/>
  <c r="AS69" i="34"/>
  <c r="AT13" i="34"/>
  <c r="AU19" i="37"/>
  <c r="AT70" i="37"/>
  <c r="AT68" i="34"/>
  <c r="AU12" i="34"/>
  <c r="AX12" i="37" l="1"/>
  <c r="AW63" i="37"/>
  <c r="AQ83" i="28"/>
  <c r="AV10" i="37"/>
  <c r="AU61" i="37"/>
  <c r="AW62" i="37"/>
  <c r="AX11" i="37"/>
  <c r="AU68" i="37"/>
  <c r="AV17" i="37"/>
  <c r="AV72" i="37"/>
  <c r="AW21" i="37"/>
  <c r="AV6" i="37"/>
  <c r="AU57" i="37"/>
  <c r="AV8" i="37"/>
  <c r="AU59" i="37"/>
  <c r="AS81" i="34"/>
  <c r="AR27" i="28"/>
  <c r="AS80" i="34"/>
  <c r="AR81" i="28"/>
  <c r="AS80" i="28"/>
  <c r="AT20" i="28"/>
  <c r="AS76" i="28"/>
  <c r="AU31" i="7"/>
  <c r="AT76" i="7"/>
  <c r="AT24" i="28" s="1"/>
  <c r="AU31" i="32"/>
  <c r="AT76" i="32"/>
  <c r="AT24" i="34" s="1"/>
  <c r="AT66" i="34"/>
  <c r="AU10" i="34"/>
  <c r="AV64" i="37"/>
  <c r="AW13" i="37"/>
  <c r="AT78" i="28"/>
  <c r="AU22" i="28"/>
  <c r="AX59" i="32"/>
  <c r="AY54" i="32"/>
  <c r="AX67" i="32"/>
  <c r="AX75" i="32"/>
  <c r="AX68" i="32"/>
  <c r="AX72" i="32"/>
  <c r="AX60" i="32"/>
  <c r="AX65" i="32"/>
  <c r="AX57" i="32"/>
  <c r="AX71" i="32"/>
  <c r="AX74" i="32"/>
  <c r="AX64" i="32"/>
  <c r="AX61" i="32"/>
  <c r="AX66" i="32"/>
  <c r="AX58" i="32"/>
  <c r="AX73" i="32"/>
  <c r="AX70" i="32"/>
  <c r="AX62" i="32"/>
  <c r="AU63" i="7"/>
  <c r="AU16" i="7"/>
  <c r="AV10" i="7"/>
  <c r="AV43" i="7" s="1"/>
  <c r="AT11" i="28"/>
  <c r="AS67" i="28"/>
  <c r="AS19" i="28"/>
  <c r="AR75" i="28"/>
  <c r="AT33" i="7"/>
  <c r="AS78" i="7"/>
  <c r="AS26" i="28" s="1"/>
  <c r="AU15" i="34"/>
  <c r="AT71" i="34"/>
  <c r="AT68" i="28"/>
  <c r="AU12" i="28"/>
  <c r="AT32" i="7"/>
  <c r="AS77" i="7"/>
  <c r="AS25" i="28" s="1"/>
  <c r="AV14" i="37"/>
  <c r="AU65" i="37"/>
  <c r="AU71" i="37"/>
  <c r="AV20" i="37"/>
  <c r="AX41" i="32"/>
  <c r="AU20" i="32"/>
  <c r="AT69" i="32"/>
  <c r="AU21" i="34"/>
  <c r="AT77" i="34"/>
  <c r="AW41" i="7"/>
  <c r="AW61" i="34"/>
  <c r="AX5" i="34"/>
  <c r="AR82" i="34"/>
  <c r="AV16" i="32"/>
  <c r="AW10" i="32"/>
  <c r="AV63" i="32"/>
  <c r="AT20" i="34"/>
  <c r="AS76" i="34"/>
  <c r="AS77" i="28"/>
  <c r="AT21" i="28"/>
  <c r="AU43" i="7"/>
  <c r="AT33" i="32"/>
  <c r="AT35" i="32" s="1"/>
  <c r="AT45" i="32" s="1"/>
  <c r="AS78" i="32"/>
  <c r="AS26" i="34" s="1"/>
  <c r="AV69" i="37"/>
  <c r="AW18" i="37"/>
  <c r="AS8" i="34"/>
  <c r="AR64" i="34"/>
  <c r="AR73" i="28"/>
  <c r="AS17" i="28"/>
  <c r="AT13" i="28"/>
  <c r="AS69" i="28"/>
  <c r="AU9" i="28"/>
  <c r="AT65" i="28"/>
  <c r="AT67" i="34"/>
  <c r="AU11" i="34"/>
  <c r="AU7" i="37"/>
  <c r="AT58" i="37"/>
  <c r="AT22" i="37"/>
  <c r="AT66" i="37"/>
  <c r="AU15" i="37"/>
  <c r="AV65" i="34"/>
  <c r="AW9" i="34"/>
  <c r="AS74" i="28"/>
  <c r="AT18" i="28"/>
  <c r="AS7" i="34"/>
  <c r="AR63" i="34"/>
  <c r="AR27" i="34"/>
  <c r="AQ83" i="34"/>
  <c r="AV56" i="37"/>
  <c r="AW5" i="37"/>
  <c r="AU67" i="37"/>
  <c r="AV16" i="37"/>
  <c r="AS8" i="28"/>
  <c r="AR64" i="28"/>
  <c r="AV9" i="37"/>
  <c r="AU60" i="37"/>
  <c r="AT78" i="34"/>
  <c r="AU22" i="34"/>
  <c r="AU32" i="32"/>
  <c r="AT77" i="32"/>
  <c r="AT25" i="34" s="1"/>
  <c r="AS73" i="37"/>
  <c r="AT23" i="28"/>
  <c r="AS79" i="28"/>
  <c r="AV19" i="37"/>
  <c r="AU70" i="37"/>
  <c r="AS72" i="28"/>
  <c r="AT16" i="28"/>
  <c r="AR83" i="28"/>
  <c r="AT70" i="34"/>
  <c r="AU14" i="34"/>
  <c r="AU10" i="28"/>
  <c r="AT66" i="28"/>
  <c r="AU61" i="28"/>
  <c r="AV5" i="28"/>
  <c r="AS75" i="34"/>
  <c r="AT19" i="34"/>
  <c r="AS79" i="34"/>
  <c r="AT23" i="34"/>
  <c r="AU68" i="34"/>
  <c r="AV12" i="34"/>
  <c r="AU20" i="7"/>
  <c r="AT69" i="7"/>
  <c r="AT74" i="34"/>
  <c r="AU18" i="34"/>
  <c r="AU16" i="34"/>
  <c r="AT72" i="34"/>
  <c r="AT6" i="28"/>
  <c r="AS62" i="28"/>
  <c r="AU62" i="34"/>
  <c r="AV6" i="34"/>
  <c r="AU15" i="28"/>
  <c r="AT71" i="28"/>
  <c r="AW59" i="7"/>
  <c r="AW67" i="7"/>
  <c r="AW61" i="7"/>
  <c r="AW73" i="7"/>
  <c r="AW64" i="7"/>
  <c r="AW75" i="7"/>
  <c r="AW58" i="7"/>
  <c r="AW71" i="7"/>
  <c r="AW66" i="7"/>
  <c r="AW57" i="7"/>
  <c r="AW74" i="7"/>
  <c r="AW62" i="7"/>
  <c r="AW60" i="7"/>
  <c r="AX54" i="7"/>
  <c r="AW72" i="7"/>
  <c r="AW65" i="7"/>
  <c r="AW70" i="7"/>
  <c r="AW68" i="7"/>
  <c r="AS7" i="28"/>
  <c r="AR63" i="28"/>
  <c r="AS35" i="7"/>
  <c r="AS45" i="7" s="1"/>
  <c r="AT69" i="34"/>
  <c r="AU13" i="34"/>
  <c r="AT14" i="28"/>
  <c r="AS70" i="28"/>
  <c r="AS17" i="34"/>
  <c r="AR73" i="34"/>
  <c r="AR82" i="28"/>
  <c r="AY12" i="37" l="1"/>
  <c r="AY63" i="37" s="1"/>
  <c r="AX63" i="37"/>
  <c r="AW10" i="37"/>
  <c r="AV61" i="37"/>
  <c r="AW8" i="37"/>
  <c r="AV59" i="37"/>
  <c r="AW6" i="37"/>
  <c r="AV57" i="37"/>
  <c r="AT73" i="37"/>
  <c r="AW72" i="37"/>
  <c r="AX21" i="37"/>
  <c r="AV68" i="37"/>
  <c r="AW17" i="37"/>
  <c r="AY11" i="37"/>
  <c r="AY62" i="37" s="1"/>
  <c r="AX62" i="37"/>
  <c r="AT81" i="34"/>
  <c r="AT80" i="34"/>
  <c r="AS81" i="28"/>
  <c r="AS27" i="28"/>
  <c r="AW6" i="34"/>
  <c r="AV62" i="34"/>
  <c r="AW12" i="34"/>
  <c r="AV68" i="34"/>
  <c r="AU70" i="34"/>
  <c r="AV14" i="34"/>
  <c r="AU78" i="34"/>
  <c r="AV22" i="34"/>
  <c r="AX10" i="32"/>
  <c r="AX43" i="32" s="1"/>
  <c r="AW63" i="32"/>
  <c r="AW16" i="32"/>
  <c r="AT67" i="28"/>
  <c r="AU11" i="28"/>
  <c r="AY64" i="32"/>
  <c r="AY65" i="32"/>
  <c r="AY73" i="32"/>
  <c r="AY67" i="32"/>
  <c r="AY61" i="32"/>
  <c r="AY60" i="32"/>
  <c r="AY62" i="32"/>
  <c r="AY75" i="32"/>
  <c r="AY59" i="32"/>
  <c r="AY72" i="32"/>
  <c r="AY66" i="32"/>
  <c r="AY71" i="32"/>
  <c r="AY57" i="32"/>
  <c r="AY5" i="34" s="1"/>
  <c r="AY68" i="32"/>
  <c r="AY58" i="32"/>
  <c r="AY74" i="32"/>
  <c r="AY70" i="32"/>
  <c r="AV31" i="7"/>
  <c r="AU76" i="7"/>
  <c r="AU24" i="28" s="1"/>
  <c r="AT72" i="28"/>
  <c r="AU16" i="28"/>
  <c r="AW9" i="37"/>
  <c r="AV60" i="37"/>
  <c r="AR83" i="34"/>
  <c r="AU67" i="34"/>
  <c r="AV11" i="34"/>
  <c r="AV12" i="28"/>
  <c r="AU68" i="28"/>
  <c r="AT80" i="28"/>
  <c r="AT8" i="34"/>
  <c r="AS64" i="34"/>
  <c r="AT62" i="28"/>
  <c r="AU6" i="28"/>
  <c r="AU19" i="34"/>
  <c r="AT75" i="34"/>
  <c r="AS63" i="34"/>
  <c r="AT7" i="34"/>
  <c r="AS27" i="34"/>
  <c r="AW43" i="32"/>
  <c r="AW64" i="37"/>
  <c r="AX13" i="37"/>
  <c r="AS73" i="34"/>
  <c r="AT17" i="34"/>
  <c r="AS82" i="34"/>
  <c r="AT74" i="28"/>
  <c r="AU18" i="28"/>
  <c r="AU33" i="32"/>
  <c r="AU35" i="32" s="1"/>
  <c r="AU45" i="32" s="1"/>
  <c r="AT78" i="32"/>
  <c r="AT26" i="34" s="1"/>
  <c r="AX61" i="34"/>
  <c r="AY41" i="32"/>
  <c r="AU23" i="34"/>
  <c r="AT79" i="34"/>
  <c r="AW69" i="37"/>
  <c r="AX18" i="37"/>
  <c r="AU69" i="34"/>
  <c r="AV13" i="34"/>
  <c r="AV70" i="37"/>
  <c r="AW19" i="37"/>
  <c r="AU65" i="28"/>
  <c r="AV9" i="28"/>
  <c r="AW20" i="37"/>
  <c r="AV71" i="37"/>
  <c r="AU71" i="34"/>
  <c r="AV15" i="34"/>
  <c r="AV10" i="34"/>
  <c r="AU66" i="34"/>
  <c r="AU32" i="7"/>
  <c r="AT77" i="7"/>
  <c r="AT25" i="28" s="1"/>
  <c r="AV16" i="34"/>
  <c r="AU72" i="34"/>
  <c r="AU74" i="34"/>
  <c r="AV18" i="34"/>
  <c r="AV61" i="28"/>
  <c r="AW5" i="28"/>
  <c r="AS64" i="28"/>
  <c r="AT8" i="28"/>
  <c r="AW65" i="34"/>
  <c r="AX9" i="34"/>
  <c r="AU21" i="28"/>
  <c r="AT77" i="28"/>
  <c r="AV7" i="37"/>
  <c r="AU58" i="37"/>
  <c r="AU22" i="37"/>
  <c r="AT79" i="28"/>
  <c r="AU23" i="28"/>
  <c r="AW16" i="37"/>
  <c r="AV67" i="37"/>
  <c r="AU13" i="28"/>
  <c r="AT69" i="28"/>
  <c r="AX41" i="7"/>
  <c r="AU33" i="7"/>
  <c r="AT78" i="7"/>
  <c r="AV63" i="7"/>
  <c r="AW10" i="7"/>
  <c r="AV16" i="7"/>
  <c r="AU14" i="28"/>
  <c r="AT70" i="28"/>
  <c r="AT17" i="28"/>
  <c r="AS73" i="28"/>
  <c r="AW14" i="37"/>
  <c r="AV65" i="37"/>
  <c r="AV20" i="32"/>
  <c r="AU69" i="32"/>
  <c r="AV22" i="28"/>
  <c r="AU78" i="28"/>
  <c r="AX62" i="7"/>
  <c r="AX67" i="7"/>
  <c r="AX73" i="7"/>
  <c r="AX68" i="7"/>
  <c r="AX65" i="7"/>
  <c r="AY54" i="7"/>
  <c r="AX60" i="7"/>
  <c r="AX59" i="7"/>
  <c r="AX71" i="7"/>
  <c r="AX74" i="7"/>
  <c r="AX75" i="7"/>
  <c r="AX72" i="7"/>
  <c r="AX64" i="7"/>
  <c r="AX61" i="7"/>
  <c r="AX58" i="7"/>
  <c r="AX57" i="7"/>
  <c r="AX66" i="7"/>
  <c r="AX70" i="7"/>
  <c r="AT35" i="7"/>
  <c r="AT45" i="7" s="1"/>
  <c r="AU66" i="28"/>
  <c r="AV10" i="28"/>
  <c r="AV15" i="37"/>
  <c r="AU66" i="37"/>
  <c r="AT76" i="34"/>
  <c r="AU20" i="34"/>
  <c r="AV21" i="34"/>
  <c r="AU77" i="34"/>
  <c r="AS75" i="28"/>
  <c r="AT19" i="28"/>
  <c r="AV31" i="32"/>
  <c r="AU76" i="32"/>
  <c r="AU24" i="34" s="1"/>
  <c r="AT76" i="28"/>
  <c r="AU20" i="28"/>
  <c r="AS82" i="28"/>
  <c r="AT26" i="28"/>
  <c r="AS63" i="28"/>
  <c r="AT7" i="28"/>
  <c r="AU71" i="28"/>
  <c r="AV15" i="28"/>
  <c r="AV20" i="7"/>
  <c r="AU69" i="7"/>
  <c r="AV32" i="32"/>
  <c r="AU77" i="32"/>
  <c r="AU25" i="34" s="1"/>
  <c r="AX5" i="37"/>
  <c r="AW56" i="37"/>
  <c r="AX10" i="37" l="1"/>
  <c r="AW61" i="37"/>
  <c r="AS83" i="28"/>
  <c r="AW68" i="37"/>
  <c r="AX17" i="37"/>
  <c r="AY21" i="37"/>
  <c r="AY72" i="37" s="1"/>
  <c r="AX72" i="37"/>
  <c r="AX6" i="37"/>
  <c r="AW57" i="37"/>
  <c r="AU73" i="37"/>
  <c r="AX8" i="37"/>
  <c r="AW59" i="37"/>
  <c r="AT82" i="34"/>
  <c r="AY61" i="34"/>
  <c r="AU81" i="34"/>
  <c r="AT81" i="28"/>
  <c r="AU80" i="34"/>
  <c r="AU79" i="34"/>
  <c r="AV23" i="34"/>
  <c r="AU17" i="34"/>
  <c r="AT73" i="34"/>
  <c r="AV16" i="28"/>
  <c r="AU72" i="28"/>
  <c r="AW20" i="32"/>
  <c r="AV69" i="32"/>
  <c r="AV74" i="34"/>
  <c r="AW18" i="34"/>
  <c r="AX64" i="37"/>
  <c r="AY13" i="37"/>
  <c r="AY64" i="37" s="1"/>
  <c r="AT64" i="34"/>
  <c r="AU8" i="34"/>
  <c r="AU67" i="28"/>
  <c r="AV11" i="28"/>
  <c r="AW9" i="28"/>
  <c r="AV65" i="28"/>
  <c r="AU80" i="28"/>
  <c r="AV33" i="7"/>
  <c r="AU78" i="7"/>
  <c r="AU26" i="28" s="1"/>
  <c r="AW31" i="7"/>
  <c r="AV76" i="7"/>
  <c r="AV24" i="28" s="1"/>
  <c r="AW62" i="34"/>
  <c r="AX6" i="34"/>
  <c r="AY68" i="7"/>
  <c r="AY64" i="7"/>
  <c r="AY70" i="7"/>
  <c r="AY65" i="7"/>
  <c r="AY57" i="7"/>
  <c r="AY74" i="7"/>
  <c r="AY66" i="7"/>
  <c r="AY73" i="7"/>
  <c r="AY61" i="7"/>
  <c r="AY60" i="7"/>
  <c r="AY62" i="7"/>
  <c r="AY75" i="7"/>
  <c r="AY59" i="7"/>
  <c r="AY71" i="7"/>
  <c r="AY58" i="7"/>
  <c r="AY67" i="7"/>
  <c r="AY72" i="7"/>
  <c r="AW70" i="37"/>
  <c r="AX19" i="37"/>
  <c r="AX12" i="34"/>
  <c r="AW68" i="34"/>
  <c r="AV20" i="34"/>
  <c r="AU76" i="34"/>
  <c r="AY5" i="37"/>
  <c r="AX56" i="37"/>
  <c r="AV72" i="34"/>
  <c r="AW16" i="34"/>
  <c r="AU17" i="28"/>
  <c r="AT73" i="28"/>
  <c r="AY41" i="7"/>
  <c r="AU77" i="28"/>
  <c r="AV21" i="28"/>
  <c r="AU7" i="34"/>
  <c r="AT63" i="34"/>
  <c r="AT27" i="34"/>
  <c r="AV68" i="28"/>
  <c r="AW12" i="28"/>
  <c r="AY10" i="32"/>
  <c r="AY43" i="32" s="1"/>
  <c r="AX63" i="32"/>
  <c r="AX16" i="32"/>
  <c r="AU7" i="28"/>
  <c r="AT63" i="28"/>
  <c r="AT82" i="28"/>
  <c r="AU76" i="28"/>
  <c r="AV20" i="28"/>
  <c r="AW32" i="32"/>
  <c r="AV77" i="32"/>
  <c r="AV25" i="34" s="1"/>
  <c r="AV66" i="37"/>
  <c r="AW15" i="37"/>
  <c r="AX65" i="34"/>
  <c r="AY9" i="34"/>
  <c r="AY65" i="34" s="1"/>
  <c r="AV32" i="7"/>
  <c r="AU77" i="7"/>
  <c r="AU25" i="28" s="1"/>
  <c r="AW13" i="34"/>
  <c r="AV69" i="34"/>
  <c r="AV33" i="32"/>
  <c r="AU78" i="32"/>
  <c r="AU26" i="34" s="1"/>
  <c r="AS83" i="34"/>
  <c r="AW11" i="34"/>
  <c r="AV67" i="34"/>
  <c r="AW71" i="37"/>
  <c r="AX20" i="37"/>
  <c r="AW21" i="34"/>
  <c r="AV77" i="34"/>
  <c r="AW7" i="37"/>
  <c r="AV58" i="37"/>
  <c r="AV22" i="37"/>
  <c r="AV13" i="28"/>
  <c r="AU69" i="28"/>
  <c r="AU74" i="28"/>
  <c r="AV18" i="28"/>
  <c r="AV78" i="34"/>
  <c r="AW22" i="34"/>
  <c r="AW16" i="7"/>
  <c r="AW63" i="7"/>
  <c r="AX10" i="7"/>
  <c r="AX43" i="7" s="1"/>
  <c r="AW43" i="7"/>
  <c r="AU8" i="28"/>
  <c r="AT64" i="28"/>
  <c r="AV66" i="34"/>
  <c r="AW10" i="34"/>
  <c r="AY18" i="37"/>
  <c r="AY69" i="37" s="1"/>
  <c r="AX69" i="37"/>
  <c r="AV19" i="34"/>
  <c r="AU75" i="34"/>
  <c r="AW31" i="32"/>
  <c r="AV76" i="32"/>
  <c r="AV24" i="34" s="1"/>
  <c r="AW20" i="7"/>
  <c r="AV69" i="7"/>
  <c r="AT75" i="28"/>
  <c r="AU19" i="28"/>
  <c r="AW22" i="28"/>
  <c r="AV78" i="28"/>
  <c r="AU70" i="28"/>
  <c r="AV14" i="28"/>
  <c r="AW67" i="37"/>
  <c r="AX16" i="37"/>
  <c r="AV71" i="34"/>
  <c r="AW15" i="34"/>
  <c r="AT27" i="28"/>
  <c r="AV70" i="34"/>
  <c r="AW14" i="34"/>
  <c r="AW65" i="37"/>
  <c r="AX14" i="37"/>
  <c r="AV66" i="28"/>
  <c r="AW10" i="28"/>
  <c r="AU35" i="7"/>
  <c r="AU45" i="7" s="1"/>
  <c r="AW15" i="28"/>
  <c r="AV71" i="28"/>
  <c r="AV23" i="28"/>
  <c r="AU79" i="28"/>
  <c r="AX5" i="28"/>
  <c r="AW61" i="28"/>
  <c r="AV6" i="28"/>
  <c r="AU62" i="28"/>
  <c r="AW60" i="37"/>
  <c r="AX9" i="37"/>
  <c r="AT83" i="28" l="1"/>
  <c r="AX61" i="37"/>
  <c r="AY10" i="37"/>
  <c r="AY61" i="37" s="1"/>
  <c r="AV35" i="7"/>
  <c r="AV45" i="7" s="1"/>
  <c r="AV73" i="37"/>
  <c r="AT83" i="34"/>
  <c r="AY8" i="37"/>
  <c r="AY59" i="37" s="1"/>
  <c r="AX59" i="37"/>
  <c r="AX57" i="37"/>
  <c r="AY6" i="37"/>
  <c r="AY57" i="37" s="1"/>
  <c r="AY17" i="37"/>
  <c r="AY68" i="37" s="1"/>
  <c r="AX68" i="37"/>
  <c r="AV81" i="34"/>
  <c r="AU82" i="34"/>
  <c r="AV80" i="34"/>
  <c r="AU81" i="28"/>
  <c r="AV69" i="28"/>
  <c r="AW13" i="28"/>
  <c r="AW33" i="32"/>
  <c r="AW35" i="32" s="1"/>
  <c r="AW45" i="32" s="1"/>
  <c r="AV78" i="32"/>
  <c r="AV26" i="34" s="1"/>
  <c r="AW20" i="34"/>
  <c r="AV76" i="34"/>
  <c r="AW58" i="37"/>
  <c r="AX7" i="37"/>
  <c r="AW22" i="37"/>
  <c r="AV80" i="28"/>
  <c r="AV19" i="28"/>
  <c r="AU75" i="28"/>
  <c r="AX68" i="34"/>
  <c r="AY12" i="34"/>
  <c r="AY68" i="34" s="1"/>
  <c r="AX20" i="32"/>
  <c r="AW69" i="32"/>
  <c r="AU64" i="28"/>
  <c r="AV8" i="28"/>
  <c r="AV35" i="32"/>
  <c r="AV45" i="32" s="1"/>
  <c r="AX14" i="34"/>
  <c r="AW70" i="34"/>
  <c r="AX15" i="34"/>
  <c r="AW71" i="34"/>
  <c r="AX15" i="28"/>
  <c r="AW71" i="28"/>
  <c r="AX67" i="37"/>
  <c r="AY16" i="37"/>
  <c r="AY67" i="37" s="1"/>
  <c r="AX31" i="32"/>
  <c r="AW76" i="32"/>
  <c r="AW24" i="34" s="1"/>
  <c r="AY20" i="37"/>
  <c r="AY71" i="37" s="1"/>
  <c r="AX71" i="37"/>
  <c r="AY19" i="37"/>
  <c r="AY70" i="37" s="1"/>
  <c r="AX70" i="37"/>
  <c r="AW65" i="28"/>
  <c r="AX9" i="28"/>
  <c r="AV7" i="34"/>
  <c r="AU63" i="34"/>
  <c r="AU27" i="34"/>
  <c r="AW69" i="34"/>
  <c r="AX13" i="34"/>
  <c r="AW32" i="7"/>
  <c r="AV77" i="7"/>
  <c r="AV25" i="28" s="1"/>
  <c r="AX60" i="37"/>
  <c r="AY9" i="37"/>
  <c r="AY60" i="37" s="1"/>
  <c r="AW78" i="34"/>
  <c r="AX22" i="34"/>
  <c r="AW66" i="37"/>
  <c r="AX15" i="37"/>
  <c r="AU73" i="28"/>
  <c r="AV17" i="28"/>
  <c r="AX62" i="34"/>
  <c r="AY6" i="34"/>
  <c r="AW11" i="28"/>
  <c r="AV67" i="28"/>
  <c r="AV72" i="28"/>
  <c r="AW16" i="28"/>
  <c r="AV77" i="28"/>
  <c r="AW21" i="28"/>
  <c r="AX16" i="7"/>
  <c r="AY10" i="7"/>
  <c r="AY43" i="7" s="1"/>
  <c r="AX63" i="7"/>
  <c r="AX10" i="28"/>
  <c r="AW66" i="28"/>
  <c r="AY16" i="32"/>
  <c r="AY63" i="32"/>
  <c r="AX16" i="34"/>
  <c r="AW72" i="34"/>
  <c r="AX61" i="28"/>
  <c r="AY5" i="28"/>
  <c r="AX20" i="7"/>
  <c r="AW69" i="7"/>
  <c r="AX21" i="34"/>
  <c r="AW77" i="34"/>
  <c r="AV74" i="28"/>
  <c r="AW18" i="28"/>
  <c r="AW67" i="34"/>
  <c r="AX11" i="34"/>
  <c r="AX12" i="28"/>
  <c r="AW68" i="28"/>
  <c r="AU64" i="34"/>
  <c r="AV8" i="34"/>
  <c r="AW33" i="7"/>
  <c r="AV78" i="7"/>
  <c r="AV26" i="28" s="1"/>
  <c r="AU82" i="28"/>
  <c r="AU63" i="28"/>
  <c r="AV7" i="28"/>
  <c r="AW14" i="28"/>
  <c r="AV70" i="28"/>
  <c r="AU27" i="28"/>
  <c r="AX32" i="32"/>
  <c r="AW77" i="32"/>
  <c r="AW25" i="34" s="1"/>
  <c r="AV17" i="34"/>
  <c r="AU73" i="34"/>
  <c r="AX18" i="34"/>
  <c r="AW74" i="34"/>
  <c r="AV79" i="28"/>
  <c r="AW23" i="28"/>
  <c r="AW19" i="34"/>
  <c r="AV75" i="34"/>
  <c r="AY14" i="37"/>
  <c r="AY65" i="37" s="1"/>
  <c r="AX65" i="37"/>
  <c r="AV62" i="28"/>
  <c r="AW6" i="28"/>
  <c r="AW78" i="28"/>
  <c r="AX22" i="28"/>
  <c r="AX10" i="34"/>
  <c r="AW66" i="34"/>
  <c r="AW20" i="28"/>
  <c r="AV76" i="28"/>
  <c r="AY56" i="37"/>
  <c r="AX31" i="7"/>
  <c r="AW76" i="7"/>
  <c r="AW24" i="28" s="1"/>
  <c r="AV79" i="34"/>
  <c r="AW23" i="34"/>
  <c r="AU83" i="28" l="1"/>
  <c r="AW73" i="37"/>
  <c r="AV82" i="34"/>
  <c r="AW80" i="28"/>
  <c r="AV81" i="28"/>
  <c r="AW80" i="34"/>
  <c r="AW81" i="34"/>
  <c r="AX19" i="34"/>
  <c r="AW75" i="34"/>
  <c r="AX67" i="34"/>
  <c r="AY11" i="34"/>
  <c r="AY67" i="34" s="1"/>
  <c r="AY22" i="34"/>
  <c r="AY78" i="34" s="1"/>
  <c r="AX78" i="34"/>
  <c r="AY15" i="28"/>
  <c r="AY71" i="28" s="1"/>
  <c r="AX71" i="28"/>
  <c r="AW76" i="28"/>
  <c r="AX20" i="28"/>
  <c r="AW72" i="28"/>
  <c r="AX16" i="28"/>
  <c r="AX66" i="34"/>
  <c r="AY10" i="34"/>
  <c r="AY66" i="34" s="1"/>
  <c r="AX72" i="34"/>
  <c r="AY16" i="34"/>
  <c r="AY72" i="34" s="1"/>
  <c r="AW19" i="28"/>
  <c r="AV75" i="28"/>
  <c r="AW67" i="28"/>
  <c r="AX11" i="28"/>
  <c r="AY14" i="34"/>
  <c r="AY70" i="34" s="1"/>
  <c r="AX70" i="34"/>
  <c r="AX32" i="7"/>
  <c r="AW77" i="7"/>
  <c r="AW25" i="28" s="1"/>
  <c r="AV82" i="28"/>
  <c r="AX23" i="34"/>
  <c r="AW79" i="34"/>
  <c r="AY62" i="34"/>
  <c r="AX69" i="34"/>
  <c r="AY13" i="34"/>
  <c r="AY69" i="34" s="1"/>
  <c r="AW8" i="28"/>
  <c r="AV64" i="28"/>
  <c r="AW70" i="28"/>
  <c r="AX14" i="28"/>
  <c r="AX78" i="28"/>
  <c r="AY22" i="28"/>
  <c r="AY78" i="28" s="1"/>
  <c r="AW35" i="7"/>
  <c r="AW45" i="7" s="1"/>
  <c r="AY10" i="28"/>
  <c r="AY66" i="28" s="1"/>
  <c r="AX66" i="28"/>
  <c r="AX58" i="37"/>
  <c r="AY7" i="37"/>
  <c r="AX22" i="37"/>
  <c r="AV63" i="28"/>
  <c r="AW7" i="28"/>
  <c r="AW8" i="34"/>
  <c r="AV64" i="34"/>
  <c r="AY20" i="7"/>
  <c r="AX69" i="7"/>
  <c r="AW17" i="28"/>
  <c r="AV73" i="28"/>
  <c r="AY31" i="32"/>
  <c r="AY76" i="32" s="1"/>
  <c r="AX76" i="32"/>
  <c r="AX24" i="34" s="1"/>
  <c r="AX71" i="34"/>
  <c r="AY15" i="34"/>
  <c r="AY71" i="34" s="1"/>
  <c r="AX74" i="34"/>
  <c r="AY18" i="34"/>
  <c r="AY74" i="34" s="1"/>
  <c r="AY16" i="7"/>
  <c r="AY63" i="7"/>
  <c r="AU83" i="34"/>
  <c r="AY20" i="32"/>
  <c r="AX69" i="32"/>
  <c r="AW69" i="28"/>
  <c r="AX13" i="28"/>
  <c r="AV27" i="28"/>
  <c r="AY32" i="32"/>
  <c r="AY77" i="32" s="1"/>
  <c r="AX77" i="32"/>
  <c r="AX25" i="34" s="1"/>
  <c r="AY61" i="28"/>
  <c r="AX66" i="37"/>
  <c r="AY15" i="37"/>
  <c r="AY66" i="37" s="1"/>
  <c r="AW7" i="34"/>
  <c r="AV63" i="34"/>
  <c r="AV27" i="34"/>
  <c r="AX20" i="34"/>
  <c r="AW76" i="34"/>
  <c r="AW79" i="28"/>
  <c r="AX23" i="28"/>
  <c r="AX33" i="32"/>
  <c r="AW78" i="32"/>
  <c r="AW26" i="34" s="1"/>
  <c r="AX18" i="28"/>
  <c r="AW74" i="28"/>
  <c r="AY21" i="34"/>
  <c r="AY77" i="34" s="1"/>
  <c r="AX77" i="34"/>
  <c r="AW17" i="34"/>
  <c r="AV73" i="34"/>
  <c r="AW62" i="28"/>
  <c r="AX6" i="28"/>
  <c r="AX33" i="7"/>
  <c r="AW78" i="7"/>
  <c r="AW26" i="28" s="1"/>
  <c r="AY31" i="7"/>
  <c r="AY76" i="7" s="1"/>
  <c r="AX76" i="7"/>
  <c r="AX24" i="28" s="1"/>
  <c r="AY12" i="28"/>
  <c r="AY68" i="28" s="1"/>
  <c r="AX68" i="28"/>
  <c r="AX21" i="28"/>
  <c r="AW77" i="28"/>
  <c r="AY9" i="28"/>
  <c r="AY65" i="28" s="1"/>
  <c r="AX65" i="28"/>
  <c r="AV83" i="28" l="1"/>
  <c r="AY25" i="34"/>
  <c r="AY81" i="34" s="1"/>
  <c r="AX81" i="34"/>
  <c r="AW82" i="34"/>
  <c r="AW82" i="28"/>
  <c r="AX80" i="34"/>
  <c r="AY24" i="34"/>
  <c r="AY80" i="34" s="1"/>
  <c r="AX80" i="28"/>
  <c r="AY24" i="28"/>
  <c r="AY80" i="28" s="1"/>
  <c r="AW81" i="28"/>
  <c r="AX25" i="28"/>
  <c r="AW27" i="28"/>
  <c r="AX7" i="28"/>
  <c r="AW63" i="28"/>
  <c r="AY32" i="7"/>
  <c r="AY77" i="7" s="1"/>
  <c r="AX77" i="7"/>
  <c r="AY19" i="34"/>
  <c r="AY75" i="34" s="1"/>
  <c r="AX75" i="34"/>
  <c r="AX76" i="28"/>
  <c r="AY20" i="28"/>
  <c r="AY76" i="28" s="1"/>
  <c r="AY14" i="28"/>
  <c r="AY70" i="28" s="1"/>
  <c r="AX70" i="28"/>
  <c r="AW64" i="28"/>
  <c r="AX8" i="28"/>
  <c r="AY58" i="37"/>
  <c r="AY73" i="37" s="1"/>
  <c r="AY22" i="37"/>
  <c r="AY11" i="28"/>
  <c r="AY67" i="28" s="1"/>
  <c r="AX67" i="28"/>
  <c r="AX8" i="34"/>
  <c r="AW64" i="34"/>
  <c r="AX72" i="28"/>
  <c r="AY16" i="28"/>
  <c r="AY72" i="28" s="1"/>
  <c r="AX73" i="37"/>
  <c r="AY6" i="28"/>
  <c r="AX62" i="28"/>
  <c r="AY20" i="34"/>
  <c r="AY76" i="34" s="1"/>
  <c r="AX76" i="34"/>
  <c r="AW73" i="34"/>
  <c r="AX17" i="34"/>
  <c r="AW63" i="34"/>
  <c r="AX7" i="34"/>
  <c r="AW27" i="34"/>
  <c r="AY69" i="32"/>
  <c r="AX17" i="28"/>
  <c r="AW73" i="28"/>
  <c r="AY33" i="32"/>
  <c r="AY78" i="32" s="1"/>
  <c r="AX78" i="32"/>
  <c r="AX26" i="34" s="1"/>
  <c r="AX79" i="28"/>
  <c r="AY23" i="28"/>
  <c r="AY79" i="28" s="1"/>
  <c r="AX35" i="32"/>
  <c r="AX45" i="32" s="1"/>
  <c r="AX19" i="28"/>
  <c r="AW75" i="28"/>
  <c r="AY33" i="7"/>
  <c r="AY78" i="7" s="1"/>
  <c r="AX78" i="7"/>
  <c r="AX26" i="28" s="1"/>
  <c r="AY21" i="28"/>
  <c r="AY77" i="28" s="1"/>
  <c r="AX77" i="28"/>
  <c r="AV83" i="34"/>
  <c r="AX74" i="28"/>
  <c r="AY18" i="28"/>
  <c r="AY74" i="28" s="1"/>
  <c r="AX35" i="7"/>
  <c r="AX45" i="7" s="1"/>
  <c r="AY13" i="28"/>
  <c r="AY69" i="28" s="1"/>
  <c r="AX69" i="28"/>
  <c r="AY69" i="7"/>
  <c r="AY23" i="34"/>
  <c r="AY79" i="34" s="1"/>
  <c r="AX79" i="34"/>
  <c r="AW83" i="28" l="1"/>
  <c r="AY35" i="7"/>
  <c r="AY45" i="7" s="1"/>
  <c r="AY35" i="32"/>
  <c r="AY45" i="32" s="1"/>
  <c r="AY26" i="34"/>
  <c r="AY82" i="34" s="1"/>
  <c r="AX82" i="34"/>
  <c r="AY26" i="28"/>
  <c r="AY82" i="28" s="1"/>
  <c r="AX82" i="28"/>
  <c r="AY62" i="28"/>
  <c r="AX81" i="28"/>
  <c r="AY25" i="28"/>
  <c r="AY81" i="28" s="1"/>
  <c r="AW83" i="34"/>
  <c r="AY8" i="34"/>
  <c r="AY64" i="34" s="1"/>
  <c r="AX64" i="34"/>
  <c r="AX63" i="34"/>
  <c r="AY7" i="34"/>
  <c r="AX27" i="34"/>
  <c r="AY17" i="28"/>
  <c r="AY73" i="28" s="1"/>
  <c r="AX73" i="28"/>
  <c r="AX75" i="28"/>
  <c r="AY19" i="28"/>
  <c r="AY75" i="28" s="1"/>
  <c r="AX63" i="28"/>
  <c r="AY7" i="28"/>
  <c r="AY63" i="28" s="1"/>
  <c r="AY17" i="34"/>
  <c r="AY73" i="34" s="1"/>
  <c r="AX73" i="34"/>
  <c r="AX27" i="28"/>
  <c r="AX64" i="28"/>
  <c r="AY8" i="28"/>
  <c r="AY64" i="28" s="1"/>
  <c r="AX83" i="28" l="1"/>
  <c r="AX83" i="34"/>
  <c r="AY27" i="28"/>
  <c r="AY83" i="28"/>
  <c r="AY63" i="34"/>
  <c r="AY83" i="34" s="1"/>
  <c r="AY27"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tc={1B40262C-443D-4AF4-8A24-60C4AA5E442F}</author>
    <author>tc={A98D986D-5EA2-40F8-A632-38B44DCE9739}</author>
  </authors>
  <commentList>
    <comment ref="B21" authorId="0" shapeId="0" xr:uid="{1B40262C-443D-4AF4-8A24-60C4AA5E442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loosely based on prices at 
https://www.gotreequotes.com.au/arborist-cost-guide/#Arborist-prices-per-hour</t>
        </r>
      </text>
    </comment>
    <comment ref="B76" authorId="1" shapeId="0" xr:uid="{A98D986D-5EA2-40F8-A632-38B44DCE973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based on national tree removal costs: https://www.gotreequotes.com.au/tree-removal-cost-guide/average-cost-of-tree-removal/</t>
        </r>
      </text>
    </comment>
  </commentList>
</comments>
</file>

<file path=xl/sharedStrings.xml><?xml version="1.0" encoding="utf-8"?>
<sst xmlns="http://schemas.openxmlformats.org/spreadsheetml/2006/main" count="933" uniqueCount="436">
  <si>
    <t>N/A</t>
  </si>
  <si>
    <t>Costs by pot size per percentile(p0, p5 … p100)</t>
  </si>
  <si>
    <t>p0</t>
  </si>
  <si>
    <t>p5</t>
  </si>
  <si>
    <t>p25</t>
  </si>
  <si>
    <t>p50</t>
  </si>
  <si>
    <t>p75</t>
  </si>
  <si>
    <t>p95</t>
  </si>
  <si>
    <t>p100</t>
  </si>
  <si>
    <t>Volume 250L</t>
  </si>
  <si>
    <t>Input variables</t>
  </si>
  <si>
    <t>Description</t>
  </si>
  <si>
    <t xml:space="preserve">Choose value from the list... </t>
  </si>
  <si>
    <t>Variable value used in model</t>
  </si>
  <si>
    <t>Question</t>
  </si>
  <si>
    <t>Broad physical parameters for project</t>
  </si>
  <si>
    <t>Number of trees in your project</t>
  </si>
  <si>
    <t>This is the number of trees in the project</t>
  </si>
  <si>
    <t>Choose the average pot size from the drop-down menu</t>
  </si>
  <si>
    <t>The is the wholesale price of the tree (delivered to site)</t>
  </si>
  <si>
    <t>This is the cost of stakes and ties (including installation)</t>
  </si>
  <si>
    <t>Unbundled installation</t>
  </si>
  <si>
    <t>Trees installed per hour</t>
  </si>
  <si>
    <t>9 a</t>
  </si>
  <si>
    <t>Number of trees to be removed</t>
  </si>
  <si>
    <r>
      <t>If required, this is the amount of imported soil required per tree (m</t>
    </r>
    <r>
      <rPr>
        <vertAlign val="superscript"/>
        <sz val="11"/>
        <color theme="1"/>
        <rFont val="Calibri"/>
        <family val="2"/>
        <scheme val="minor"/>
      </rPr>
      <t>3</t>
    </r>
    <r>
      <rPr>
        <sz val="11"/>
        <color theme="1"/>
        <rFont val="Calibri"/>
        <family val="2"/>
        <scheme val="minor"/>
      </rPr>
      <t>)</t>
    </r>
  </si>
  <si>
    <t>If required, this is the cost of temporary traffic control (necessary in busy streets)</t>
  </si>
  <si>
    <t>This is the full intensive maintenance cost for the first 12 months</t>
  </si>
  <si>
    <t>This is the ongoing maintenance cost</t>
  </si>
  <si>
    <t>15</t>
  </si>
  <si>
    <t>17</t>
  </si>
  <si>
    <t>18</t>
  </si>
  <si>
    <t>Financial</t>
  </si>
  <si>
    <t>19</t>
  </si>
  <si>
    <t>Discount rate</t>
  </si>
  <si>
    <t>This is the rate at which future costs are converted to current costs</t>
  </si>
  <si>
    <t>Inflation rate</t>
  </si>
  <si>
    <t>This is the expected real inflation rate</t>
  </si>
  <si>
    <t xml:space="preserve">…or insert your own estimates </t>
  </si>
  <si>
    <t>Select the estimated cost percentile for your project</t>
  </si>
  <si>
    <t>Percentile range</t>
  </si>
  <si>
    <t>Pot size</t>
  </si>
  <si>
    <t>Soil (m3)</t>
  </si>
  <si>
    <t>Enter your own estimate</t>
  </si>
  <si>
    <t>Mortality rates (%)</t>
  </si>
  <si>
    <t>Discount rate (%)</t>
  </si>
  <si>
    <t>Input cost</t>
  </si>
  <si>
    <t>Model input value</t>
  </si>
  <si>
    <t>Cost item</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</si>
  <si>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</si>
  <si>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</si>
  <si>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</si>
  <si>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</si>
  <si>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</si>
  <si>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</si>
  <si>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</si>
  <si>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</si>
  <si>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</si>
  <si>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</si>
  <si>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</si>
  <si>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</si>
  <si>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</si>
  <si>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</si>
  <si>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</si>
  <si>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</si>
  <si>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</si>
  <si>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</si>
  <si>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</si>
  <si>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</si>
  <si>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</si>
  <si>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</si>
  <si>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</si>
  <si>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</si>
  <si>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</si>
  <si>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</si>
  <si>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</si>
  <si>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</si>
  <si>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</si>
  <si>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</si>
  <si>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Establishment costs</t>
  </si>
  <si>
    <t>Tree removal</t>
  </si>
  <si>
    <t>Total establishment costs</t>
  </si>
  <si>
    <t>Total maintenance costs</t>
  </si>
  <si>
    <t>Cost of mortality</t>
  </si>
  <si>
    <t>Net cost of mortality</t>
  </si>
  <si>
    <t>PV costs</t>
  </si>
  <si>
    <t>Establishment</t>
  </si>
  <si>
    <t>Maintenance</t>
  </si>
  <si>
    <t>Net mortality</t>
  </si>
  <si>
    <t xml:space="preserve"> </t>
  </si>
  <si>
    <t>Cashflow budget data</t>
  </si>
  <si>
    <t>$</t>
  </si>
  <si>
    <t>%</t>
  </si>
  <si>
    <t>Option 1</t>
  </si>
  <si>
    <t>Option 2</t>
  </si>
  <si>
    <t>Number of trees</t>
  </si>
  <si>
    <t>Pot size (L)</t>
  </si>
  <si>
    <t>Establishment cost (undiscounted)</t>
  </si>
  <si>
    <t>Average annual maintenance costs</t>
  </si>
  <si>
    <t>Average annual net mortality costs</t>
  </si>
  <si>
    <t>Legend</t>
  </si>
  <si>
    <t>Enter a value</t>
  </si>
  <si>
    <t>Choose value from a drop-down list</t>
  </si>
  <si>
    <t>Average</t>
  </si>
  <si>
    <t>Low</t>
  </si>
  <si>
    <t>High</t>
  </si>
  <si>
    <t>Very High</t>
  </si>
  <si>
    <t>Very Low</t>
  </si>
  <si>
    <t>Below average</t>
  </si>
  <si>
    <t>Above average</t>
  </si>
  <si>
    <t xml:space="preserve">Average </t>
  </si>
  <si>
    <t>Machine rate ($/hr)</t>
  </si>
  <si>
    <t>Traffic control cost ($)</t>
  </si>
  <si>
    <t>Life cycle costs (present value)</t>
  </si>
  <si>
    <t>Total life cycle costs</t>
  </si>
  <si>
    <t>Avoided mortality costs associated with good maintenance</t>
  </si>
  <si>
    <t>Tree removal ($/tree)</t>
  </si>
  <si>
    <t>Most likely</t>
  </si>
  <si>
    <t>Highest</t>
  </si>
  <si>
    <t>Total cost, undiscounted</t>
  </si>
  <si>
    <t>Item/Activity</t>
  </si>
  <si>
    <t>Installation cost ($/hr) per tree</t>
  </si>
  <si>
    <t>Option 1 - Cashflow (adjusted for inflation)</t>
  </si>
  <si>
    <t>16</t>
  </si>
  <si>
    <t>Inspections and ongoing maintenance</t>
  </si>
  <si>
    <t>This is a once-off GIS mapping activity</t>
  </si>
  <si>
    <t>This is an on-going tree health inspection cost</t>
  </si>
  <si>
    <t>This is the cost of removing and disposing existing trees to plant new ones</t>
  </si>
  <si>
    <t>This is the frequency of tree inspection</t>
  </si>
  <si>
    <t>Tree inspections</t>
  </si>
  <si>
    <t>Every year</t>
  </si>
  <si>
    <t>Once in 2 years</t>
  </si>
  <si>
    <t>Once in 3 years</t>
  </si>
  <si>
    <t>Once in 4 years</t>
  </si>
  <si>
    <t>Once in 5 years</t>
  </si>
  <si>
    <t>Inspections and maintenance costs</t>
  </si>
  <si>
    <t>Cost type</t>
  </si>
  <si>
    <t>If relevant this is the cost of cutting an access hole in the footpath or road kerbside</t>
  </si>
  <si>
    <t>Labour and equipment cost of digging a hole and planting a tree</t>
  </si>
  <si>
    <t>Cost of purchasing and delivering the tree to the project site</t>
  </si>
  <si>
    <t>Cost associated with cutting through roads surface and kerbside concretes (exclude the soil digging costs)</t>
  </si>
  <si>
    <t>Cost of purchasing and delivering stakes and ties to site</t>
  </si>
  <si>
    <t>Cost hiring machinery to facilitate tree installation</t>
  </si>
  <si>
    <t>Cost of installing a tree, excludes any machinery costs</t>
  </si>
  <si>
    <t>Cost of removing and disposing existing trees at the project site</t>
  </si>
  <si>
    <r>
      <t>Soil cost ($/m</t>
    </r>
    <r>
      <rPr>
        <vertAlign val="superscript"/>
        <sz val="11"/>
        <color theme="1"/>
        <rFont val="Calibri"/>
        <family val="2"/>
        <scheme val="minor"/>
      </rPr>
      <t>3)</t>
    </r>
  </si>
  <si>
    <t xml:space="preserve">Cost of controlling traffic during tree planting activities </t>
  </si>
  <si>
    <t>Tree protection fencing ($)</t>
  </si>
  <si>
    <t>Stakes and ties ($)</t>
  </si>
  <si>
    <t>Supply ($)</t>
  </si>
  <si>
    <t>Concrete cutting ($)</t>
  </si>
  <si>
    <t>Cost of purchasing, delivery and installation of tree protection fences</t>
  </si>
  <si>
    <t>Expected % of trees that will die after the first 5 years but within 30 yeas</t>
  </si>
  <si>
    <t>Cost of purchasing, delivering and spreading mulch around the tree</t>
  </si>
  <si>
    <t>Cost items and activities per tree</t>
  </si>
  <si>
    <t>Volume of required soil (m3)</t>
  </si>
  <si>
    <t>Tree installation ($)</t>
  </si>
  <si>
    <t>Related project costs</t>
  </si>
  <si>
    <t>This is the bundled installation cost (includes labour and equipment) per tree</t>
  </si>
  <si>
    <r>
      <t>This is the cost of delivered soil per m</t>
    </r>
    <r>
      <rPr>
        <vertAlign val="superscript"/>
        <sz val="11"/>
        <color theme="1"/>
        <rFont val="Calibri"/>
        <family val="2"/>
        <scheme val="minor"/>
      </rPr>
      <t xml:space="preserve">3 </t>
    </r>
    <r>
      <rPr>
        <sz val="11"/>
        <color theme="1"/>
        <rFont val="Calibri"/>
        <family val="2"/>
        <scheme val="minor"/>
      </rPr>
      <t>per tree</t>
    </r>
  </si>
  <si>
    <t>3 a</t>
  </si>
  <si>
    <t>3 b</t>
  </si>
  <si>
    <t>Average tree pot size (L)</t>
  </si>
  <si>
    <t>Aggregated costs</t>
  </si>
  <si>
    <t xml:space="preserve">Cost of purchase and delivery of soil </t>
  </si>
  <si>
    <t>Watering ($/tree per visit)</t>
  </si>
  <si>
    <t>entering new variables</t>
  </si>
  <si>
    <r>
      <t>Enter your variable name in  "</t>
    </r>
    <r>
      <rPr>
        <i/>
        <sz val="11"/>
        <color theme="1"/>
        <rFont val="Calibri"/>
        <family val="2"/>
        <scheme val="minor"/>
      </rPr>
      <t>Input_Data</t>
    </r>
    <r>
      <rPr>
        <sz val="11"/>
        <color theme="1"/>
        <rFont val="Calibri"/>
        <family val="2"/>
        <scheme val="minor"/>
      </rPr>
      <t>"</t>
    </r>
  </si>
  <si>
    <t>&lt;Enter a brief description of your variable here&gt;</t>
  </si>
  <si>
    <t>Arborist tree health inspection ($/tree)</t>
  </si>
  <si>
    <t>Visual tree inspection ($/tree)</t>
  </si>
  <si>
    <t>Strata cells/vault installation ($/tree)</t>
  </si>
  <si>
    <t>Watering frequency in year 1</t>
  </si>
  <si>
    <t>Watering frequency from year 2 onwards</t>
  </si>
  <si>
    <t>Anticipated reactive watering</t>
  </si>
  <si>
    <t>Twice a week</t>
  </si>
  <si>
    <t>Once a week</t>
  </si>
  <si>
    <t>Once a fortnight</t>
  </si>
  <si>
    <t>Once a month</t>
  </si>
  <si>
    <t>Once a year</t>
  </si>
  <si>
    <t>Twice a year</t>
  </si>
  <si>
    <t>Three time a year</t>
  </si>
  <si>
    <t>Four times a year</t>
  </si>
  <si>
    <t>Five times a year</t>
  </si>
  <si>
    <t>10 times a year</t>
  </si>
  <si>
    <t xml:space="preserve">Watering frequency </t>
  </si>
  <si>
    <t>This is the average watering frequency in the first year</t>
  </si>
  <si>
    <t>This is the average watering frequency from year 2 onwards</t>
  </si>
  <si>
    <t>Once in 2 months</t>
  </si>
  <si>
    <t>Once in 3 months</t>
  </si>
  <si>
    <t>Once in 6 months</t>
  </si>
  <si>
    <t>Once in a year</t>
  </si>
  <si>
    <t>Number of trees planted using strata cells/vault</t>
  </si>
  <si>
    <t>Number of trees inspected</t>
  </si>
  <si>
    <t>10a</t>
  </si>
  <si>
    <t>10b</t>
  </si>
  <si>
    <t>10c</t>
  </si>
  <si>
    <t>11a</t>
  </si>
  <si>
    <t>11b</t>
  </si>
  <si>
    <t>12a</t>
  </si>
  <si>
    <t>12b</t>
  </si>
  <si>
    <t>12c</t>
  </si>
  <si>
    <t>Volume 75-100L</t>
  </si>
  <si>
    <t>Volume 25-50L</t>
  </si>
  <si>
    <t xml:space="preserve">Cost of a rapid visual tree inspection </t>
  </si>
  <si>
    <t>This is the average watering cost per tree</t>
  </si>
  <si>
    <t xml:space="preserve">This is the cost of a rapid visual tree inspection </t>
  </si>
  <si>
    <t>Option 1 cumulative costs</t>
  </si>
  <si>
    <t>4a</t>
  </si>
  <si>
    <t>4b</t>
  </si>
  <si>
    <t>Cumulative costs for whole project</t>
  </si>
  <si>
    <t xml:space="preserve">Cumulative average cost per tree </t>
  </si>
  <si>
    <t>Summary of results - whole project</t>
  </si>
  <si>
    <t>Cost ($)</t>
  </si>
  <si>
    <t>Proportion (%)</t>
  </si>
  <si>
    <t>Maintenance in year 2 ($/tree)</t>
  </si>
  <si>
    <t>13</t>
  </si>
  <si>
    <t>14</t>
  </si>
  <si>
    <t>Visual tree inspection frequency</t>
  </si>
  <si>
    <t>20a</t>
  </si>
  <si>
    <t>20b</t>
  </si>
  <si>
    <t>21a</t>
  </si>
  <si>
    <t>21b</t>
  </si>
  <si>
    <t>21c</t>
  </si>
  <si>
    <t>22a</t>
  </si>
  <si>
    <t>22b</t>
  </si>
  <si>
    <t>23</t>
  </si>
  <si>
    <t>24a</t>
  </si>
  <si>
    <t>24b</t>
  </si>
  <si>
    <t>24c</t>
  </si>
  <si>
    <t>25a</t>
  </si>
  <si>
    <t>25b</t>
  </si>
  <si>
    <t>Expected % of trees that will die in the first 5 years (given species type and management)</t>
  </si>
  <si>
    <t>Expected % of trees that will die in first 5 years (given species type and management)</t>
  </si>
  <si>
    <t>Number of guard rails required</t>
  </si>
  <si>
    <t>Estimated annual number of trees for arborist inspection</t>
  </si>
  <si>
    <r>
      <t xml:space="preserve">Mortality - under a </t>
    </r>
    <r>
      <rPr>
        <b/>
        <u/>
        <sz val="11"/>
        <color theme="1"/>
        <rFont val="Calibri"/>
        <family val="2"/>
        <scheme val="minor"/>
      </rPr>
      <t>poor</t>
    </r>
    <r>
      <rPr>
        <sz val="11"/>
        <color theme="1"/>
        <rFont val="Calibri"/>
        <family val="2"/>
        <scheme val="minor"/>
      </rPr>
      <t xml:space="preserve"> maintenance regime</t>
    </r>
  </si>
  <si>
    <t>Post-establishment mortality rate</t>
  </si>
  <si>
    <t>Mortality rate due to accidents and vandalism</t>
  </si>
  <si>
    <t>Expected average mortality rate due accidents and vandalism</t>
  </si>
  <si>
    <t>7a</t>
  </si>
  <si>
    <t>7b</t>
  </si>
  <si>
    <t>Volume of mulch required (m3)</t>
  </si>
  <si>
    <r>
      <t>Mulch cost ($/m</t>
    </r>
    <r>
      <rPr>
        <vertAlign val="superscript"/>
        <sz val="11"/>
        <color theme="1"/>
        <rFont val="Calibri"/>
        <family val="2"/>
        <scheme val="minor"/>
      </rPr>
      <t>3</t>
    </r>
    <r>
      <rPr>
        <sz val="11"/>
        <color theme="1"/>
        <rFont val="Calibri"/>
        <family val="2"/>
        <scheme val="minor"/>
      </rPr>
      <t>)</t>
    </r>
  </si>
  <si>
    <t>Guard rails ($)</t>
  </si>
  <si>
    <t>Costs of purchasing, delivery and installation of permanent guard rails</t>
  </si>
  <si>
    <t>6a</t>
  </si>
  <si>
    <t>6b</t>
  </si>
  <si>
    <t>9b</t>
  </si>
  <si>
    <t>9c</t>
  </si>
  <si>
    <t>9d</t>
  </si>
  <si>
    <t>Guard rails</t>
  </si>
  <si>
    <t>Cost purchasing and installing a protection fence</t>
  </si>
  <si>
    <t>Cost of purchasing, delivering and installing any guard rails</t>
  </si>
  <si>
    <t>Average cost of tree health inspection report by an arborist</t>
  </si>
  <si>
    <t>Watering costs in year 1 ($)</t>
  </si>
  <si>
    <t>Watering costs year 2 onwards ($)</t>
  </si>
  <si>
    <t>StrataVault or Strata cells ($)</t>
  </si>
  <si>
    <t>Visual tree inspection ($)</t>
  </si>
  <si>
    <t>User specified cost item 2 ($/tree per annum)</t>
  </si>
  <si>
    <t>User specified cost item 3 ($/tree per annum)</t>
  </si>
  <si>
    <t>User specified cost item 4 ($/tree per annum)</t>
  </si>
  <si>
    <t>User specified cost item 5 ($/tree per annum)</t>
  </si>
  <si>
    <t>User specified cost item 6 ($/tree per annum)</t>
  </si>
  <si>
    <t>Arborist tree health inspection (frequency)</t>
  </si>
  <si>
    <t>22c</t>
  </si>
  <si>
    <t>Maintenance in year 3 to 30 (annual $)</t>
  </si>
  <si>
    <t>Arborist tree health inspection ($)</t>
  </si>
  <si>
    <t>Maintenance in year 1 ($ )</t>
  </si>
  <si>
    <t>Maintenance in year 2 ($)</t>
  </si>
  <si>
    <t>24d</t>
  </si>
  <si>
    <r>
      <t xml:space="preserve">Mortality - under a </t>
    </r>
    <r>
      <rPr>
        <b/>
        <u/>
        <sz val="11"/>
        <color theme="1"/>
        <rFont val="Calibri"/>
        <family val="2"/>
        <scheme val="minor"/>
      </rPr>
      <t>good</t>
    </r>
    <r>
      <rPr>
        <sz val="11"/>
        <color theme="1"/>
        <rFont val="Calibri"/>
        <family val="2"/>
        <scheme val="minor"/>
      </rPr>
      <t xml:space="preserve"> maintenance regime</t>
    </r>
  </si>
  <si>
    <t>Watering costs</t>
  </si>
  <si>
    <t>Year 31</t>
  </si>
  <si>
    <t>25c</t>
  </si>
  <si>
    <t>Appraisal period</t>
  </si>
  <si>
    <t>This is the desired project appraisal period in years</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</si>
  <si>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</si>
  <si>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</si>
  <si>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</si>
  <si>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</si>
  <si>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</si>
  <si>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</si>
  <si>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</si>
  <si>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</si>
  <si>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</si>
  <si>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</si>
  <si>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</si>
  <si>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</si>
  <si>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</si>
  <si>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</si>
  <si>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</si>
  <si>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</si>
  <si>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</si>
  <si>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</si>
  <si>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</si>
  <si>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Inspections and maintenance</t>
  </si>
  <si>
    <t>Appraisal period (years)</t>
  </si>
  <si>
    <t>Total</t>
  </si>
  <si>
    <t>Project area size</t>
  </si>
  <si>
    <t>This is the size of your planting site in hectares</t>
  </si>
  <si>
    <t>Area based planting</t>
  </si>
  <si>
    <t>Direct seeding</t>
  </si>
  <si>
    <t>Tubestock</t>
  </si>
  <si>
    <t>Area inspected (ha)</t>
  </si>
  <si>
    <t>User specified cost item 3 ($/ ha per annum)</t>
  </si>
  <si>
    <t>User specified cost item 4 ($/ ha per annum)</t>
  </si>
  <si>
    <t>User specified cost item 5 ($/ ha per annum)</t>
  </si>
  <si>
    <t>Maintenance in year 1 ($ /ha)</t>
  </si>
  <si>
    <t>Planting type</t>
  </si>
  <si>
    <t>Expected % of area that will die in the first 5 years (given species type and management)</t>
  </si>
  <si>
    <t>Expected % of area that will die in first 5 years (given species type and management)</t>
  </si>
  <si>
    <t>Expected % of area that will die after the first 5 years but within 30 yeas</t>
  </si>
  <si>
    <t>This is the planting method</t>
  </si>
  <si>
    <t>Planting density</t>
  </si>
  <si>
    <t>Density (plants/ha)</t>
  </si>
  <si>
    <t>80% understory, 20% trees</t>
  </si>
  <si>
    <t>70% understory, 30% trees</t>
  </si>
  <si>
    <t>75% understory, 25% trees</t>
  </si>
  <si>
    <t>Site preparation for seeding. Weed and pest animal control. Estimated value of labour and materials</t>
  </si>
  <si>
    <t>Site preparation ($/ha)</t>
  </si>
  <si>
    <t>Direct seeding ($/ha)</t>
  </si>
  <si>
    <t xml:space="preserve">Fencing </t>
  </si>
  <si>
    <t>Tubestock tree guards / protection sleeve</t>
  </si>
  <si>
    <t>This is the cost of tree guard or protection sleeve (including installation)</t>
  </si>
  <si>
    <t>Tree guard/protection sleeve</t>
  </si>
  <si>
    <t>7c</t>
  </si>
  <si>
    <t>8a</t>
  </si>
  <si>
    <t>8b</t>
  </si>
  <si>
    <t>8c</t>
  </si>
  <si>
    <t>9</t>
  </si>
  <si>
    <t>10</t>
  </si>
  <si>
    <t>11</t>
  </si>
  <si>
    <t>12</t>
  </si>
  <si>
    <t>15a</t>
  </si>
  <si>
    <t>15b</t>
  </si>
  <si>
    <t>17a</t>
  </si>
  <si>
    <t>17b</t>
  </si>
  <si>
    <t>17c</t>
  </si>
  <si>
    <t>17d</t>
  </si>
  <si>
    <t>Watering</t>
  </si>
  <si>
    <t>Visual inspection</t>
  </si>
  <si>
    <t>Visual tree inspection ($/ha)</t>
  </si>
  <si>
    <t>Cost of purchasing, delivery and installation of tree protection fence</t>
  </si>
  <si>
    <t>Maintenance after year 10 (annual $ /ha)</t>
  </si>
  <si>
    <t>Maintenance in first 10 years (annual $ /ha)</t>
  </si>
  <si>
    <t>Tubestock supply and planting</t>
  </si>
  <si>
    <t>Watering ($/ha per visit)</t>
  </si>
  <si>
    <t>Watering frequency from year 2 to 10</t>
  </si>
  <si>
    <t>Watering frequency from year 10 onwards</t>
  </si>
  <si>
    <t>This is the average watering frequency from year 2 to 10</t>
  </si>
  <si>
    <t>This is the average watering frequency from year 10 onwards</t>
  </si>
  <si>
    <t>Seeding ($/ha)</t>
  </si>
  <si>
    <t>Seeds ($/kg)</t>
  </si>
  <si>
    <t>Based on http://dx.doi.org/10.1016/j.landusepol.2014.12.002, adjusted from 2013 to 2019AUD</t>
  </si>
  <si>
    <t>Based on https://fernland.com.au/landscape-revegetation-supplies/stakes/tree-protection-sleeves-guards.html and 
https://www.australianplantsonline.com.au/tree-guard.html</t>
  </si>
  <si>
    <t>Based on this plus other similar sources https://www.greeningaustralia.org.au/wp-content/uploads/2017/11/BROCHURE_Whole-of-Paddock-Rehabilition.pdf</t>
  </si>
  <si>
    <t>Based on http://dx.doi.org/10.1016/j.landusepol.2014.12.002, adjusted from 2013 to 2019AUD, applied at 1kg/ha</t>
  </si>
  <si>
    <t>Cost of purchasing seeds ($/ha)</t>
  </si>
  <si>
    <r>
      <t>If required, this is the amount of mulch required per tree (m</t>
    </r>
    <r>
      <rPr>
        <vertAlign val="superscript"/>
        <sz val="11"/>
        <rFont val="Calibri"/>
        <family val="2"/>
        <scheme val="minor"/>
      </rPr>
      <t>3</t>
    </r>
    <r>
      <rPr>
        <sz val="11"/>
        <rFont val="Calibri"/>
        <family val="2"/>
        <scheme val="minor"/>
      </rPr>
      <t>)</t>
    </r>
  </si>
  <si>
    <t>Number of trees requiring concrete cutting</t>
  </si>
  <si>
    <t>3a</t>
  </si>
  <si>
    <t>3b</t>
  </si>
  <si>
    <t>This is the cost mulch per m3 (including installation) at time of planting</t>
  </si>
  <si>
    <t>Cost of purchasing and installing Strata Vaults or strata cells</t>
  </si>
  <si>
    <t>Cost of purchase, delivery and installation of a Strata Vault per tree</t>
  </si>
  <si>
    <t>GIS mapping and inventory assessment ($)</t>
  </si>
  <si>
    <t>Tubestock supply and planting ($)</t>
  </si>
  <si>
    <t>Watering in year 1 ($)</t>
  </si>
  <si>
    <t>Watering from year 2 to 10 ($)</t>
  </si>
  <si>
    <t>Watering from year 10 onwards ($)</t>
  </si>
  <si>
    <t>User specified cost item 1 ($/ year)</t>
  </si>
  <si>
    <t>User specified cost item 2 ($/ year)</t>
  </si>
  <si>
    <t>User specified cost item 3 ($/ year)</t>
  </si>
  <si>
    <t>User specified cost item 4 ($/ year)</t>
  </si>
  <si>
    <t>User specified cost item 5 ($/ year)</t>
  </si>
  <si>
    <t>Tree removal ($)</t>
  </si>
  <si>
    <r>
      <t xml:space="preserve">Mortality - under a </t>
    </r>
    <r>
      <rPr>
        <b/>
        <u/>
        <sz val="11"/>
        <rFont val="Calibri"/>
        <family val="2"/>
        <scheme val="minor"/>
      </rPr>
      <t>poor</t>
    </r>
    <r>
      <rPr>
        <sz val="11"/>
        <rFont val="Calibri"/>
        <family val="2"/>
        <scheme val="minor"/>
      </rPr>
      <t xml:space="preserve"> maintenance regime</t>
    </r>
  </si>
  <si>
    <r>
      <t xml:space="preserve">Mortality - under a </t>
    </r>
    <r>
      <rPr>
        <b/>
        <u/>
        <sz val="11"/>
        <rFont val="Calibri"/>
        <family val="2"/>
        <scheme val="minor"/>
      </rPr>
      <t>good</t>
    </r>
    <r>
      <rPr>
        <sz val="11"/>
        <rFont val="Calibri"/>
        <family val="2"/>
        <scheme val="minor"/>
      </rPr>
      <t xml:space="preserve"> maintenance regime</t>
    </r>
  </si>
  <si>
    <t>Maintenance in first 10 years ($)</t>
  </si>
  <si>
    <t>Maintenance after year 10 ($)</t>
  </si>
  <si>
    <t>Option 3 - Cashflow (adjusted for inflation)</t>
  </si>
  <si>
    <t>Mortality - due to accidents</t>
  </si>
  <si>
    <t>Mortality - due to deliberate actions</t>
  </si>
  <si>
    <t>Option 2 - Cashflow (adjusted for inflation)</t>
  </si>
  <si>
    <t>Option 2 cumulative costs</t>
  </si>
  <si>
    <t>Schimar (2000)</t>
  </si>
  <si>
    <t>Maintenance in year 2 -10 ($ /ha)</t>
  </si>
  <si>
    <t>Maintenance in after year 10 (annual $ /ha)</t>
  </si>
  <si>
    <t>Option 3</t>
  </si>
  <si>
    <t>Option 3 cumulative costs</t>
  </si>
  <si>
    <t>Area (ha)</t>
  </si>
  <si>
    <t>Maintenance in year 3 and onwards (annual $/tree)</t>
  </si>
  <si>
    <t>Summary of results - average cost per tree or hectare</t>
  </si>
  <si>
    <t>Life cycle costs (total project)</t>
  </si>
  <si>
    <t>Cost of purchasing and planting seeds</t>
  </si>
  <si>
    <t>Cost of purchasing and planting tubestock</t>
  </si>
  <si>
    <t>Cost purchasing and delivery of tree guards or protection sleeve</t>
  </si>
  <si>
    <t>Option 3 Tubestock or direct seeding</t>
  </si>
  <si>
    <t>This is the average watering cost per ha</t>
  </si>
  <si>
    <t>Tree mortality rates (%)</t>
  </si>
  <si>
    <t>Cost of a GIS mapping survey, this is a once off cost for recording tree locations</t>
  </si>
  <si>
    <t>Cost of a professional arborist tree health inspection</t>
  </si>
  <si>
    <t>Cost of watering activity including cost of the water and watering activity</t>
  </si>
  <si>
    <t xml:space="preserve">Arborist tree health inspection </t>
  </si>
  <si>
    <t>Arborist tree health inspection</t>
  </si>
  <si>
    <t>Concrete cutting</t>
  </si>
  <si>
    <t>GIS mapping and inventory assessment</t>
  </si>
  <si>
    <t>Installation cost</t>
  </si>
  <si>
    <t>Machine rate</t>
  </si>
  <si>
    <t>Cost of maintenance in the first year after planting, includes any formative pruning</t>
  </si>
  <si>
    <t>Mulch cost</t>
  </si>
  <si>
    <t>Seeding</t>
  </si>
  <si>
    <t>Soil cost</t>
  </si>
  <si>
    <t>Stakes and ties</t>
  </si>
  <si>
    <t>Strata cells/vault installation</t>
  </si>
  <si>
    <t>Supply</t>
  </si>
  <si>
    <t>Traffic control</t>
  </si>
  <si>
    <t xml:space="preserve">Tree installation </t>
  </si>
  <si>
    <t>Tree protection fencing</t>
  </si>
  <si>
    <t>Visual tree inspection</t>
  </si>
  <si>
    <t>If pricing an unbundled installation use question 9b to 9d (not question 9a)</t>
  </si>
  <si>
    <t>Maintenance in year 1 ($/tree)</t>
  </si>
  <si>
    <t>User specified cost item 1 ($/tree in Year 1 only)</t>
  </si>
  <si>
    <t>User specified cost item 2 ($/tree per annum up to year 2)</t>
  </si>
  <si>
    <t>Tree mortality  rates (%)</t>
  </si>
  <si>
    <t>Additional use specified cost items</t>
  </si>
  <si>
    <t>2a</t>
  </si>
  <si>
    <t>2b</t>
  </si>
  <si>
    <t>Planting method</t>
  </si>
  <si>
    <t>18a</t>
  </si>
  <si>
    <t>18b</t>
  </si>
  <si>
    <t>18c</t>
  </si>
  <si>
    <t>Tree costing tool</t>
  </si>
  <si>
    <t>Direct seeding ($)</t>
  </si>
  <si>
    <t>Based on national stats on tree removal costs: https://www.gotreequotes.com.au/tree-removal-cost-guide/average-cost-of-tree-removal/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</si>
</sst>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C09]* #,##0_-;\-[$$-C09]* #,##0_-;_-[$$-C09]* &quot;-&quot;??_-;_-@_-"/>
    <numFmt numFmtId="168" formatCode="_-[$$-C09]* #,##0.00_-;\-[$$-C09]* #,##0.00_-;_-[$$-C09]* &quot;-&quot;??_-;_-@_-"/>
    <numFmt numFmtId="169" formatCode="0.0"/>
    <numFmt numFmtId="170" formatCode="&quot;$&quot;#,##0.0"/>
    <numFmt numFmtId="171" formatCode="&quot;$&quot;#,##0.0;[Red]\-&quot;$&quot;#,##0.0"/>
    <numFmt numFmtId="172" formatCode="_-&quot;$&quot;* #,##0.0_-;\-&quot;$&quot;* #,##0.0_-;_-&quot;$&quot;* &quot;-&quot;??_-;_-@_-"/>
    <numFmt numFmtId="173" formatCode="_-&quot;$&quot;* #,##0.0_-;\-&quot;$&quot;* #,##0.0_-;_-&quot;$&quot;* &quot;-&quot;?_-;_-@_-"/>
    <numFmt numFmtId="174" formatCode="_-* #,##0_-;\-* #,##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i/>
      <sz val="14"/>
      <color theme="1"/>
      <name val="Calibri"/>
      <family val="2"/>
      <scheme val="minor"/>
    </font>
    <font>
      <b/>
      <i/>
      <sz val="11"/>
      <color theme="1"/>
      <name val="Calibri"/>
      <family val="2"/>
      <scheme val="minor"/>
    </font>
    <font>
      <vertAlign val="superscript"/>
      <sz val="11"/>
      <color theme="1"/>
      <name val="Calibri"/>
      <family val="2"/>
      <scheme val="minor"/>
    </font>
    <font>
      <sz val="11"/>
      <color rgb="FF00B050"/>
      <name val="Calibri"/>
      <family val="2"/>
      <scheme val="minor"/>
    </font>
    <font>
      <b/>
      <sz val="14"/>
      <color theme="1"/>
      <name val="Calibri"/>
      <family val="2"/>
      <scheme val="minor"/>
    </font>
    <font>
      <sz val="8"/>
      <name val="Calibri"/>
      <family val="2"/>
      <scheme val="minor"/>
    </font>
    <font>
      <sz val="11"/>
      <name val="Calibri"/>
      <family val="2"/>
      <scheme val="minor"/>
    </font>
    <font>
      <sz val="11"/>
      <color theme="3"/>
      <name val="Calibri"/>
      <family val="2"/>
      <scheme val="minor"/>
    </font>
    <font>
      <b/>
      <sz val="11"/>
      <name val="Calibri"/>
      <family val="2"/>
      <scheme val="minor"/>
    </font>
    <font>
      <i/>
      <sz val="11"/>
      <name val="Calibri"/>
      <family val="2"/>
      <scheme val="minor"/>
    </font>
    <font>
      <b/>
      <sz val="14"/>
      <name val="Calibri"/>
      <family val="2"/>
      <scheme val="minor"/>
    </font>
    <font>
      <sz val="11"/>
      <color rgb="FFFF6600"/>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u/>
      <sz val="11"/>
      <color theme="10"/>
      <name val="Calibri"/>
      <family val="2"/>
      <scheme val="minor"/>
    </font>
    <font>
      <vertAlign val="superscript"/>
      <sz val="11"/>
      <name val="Calibri"/>
      <family val="2"/>
      <scheme val="minor"/>
    </font>
    <font>
      <b/>
      <i/>
      <sz val="11"/>
      <name val="Calibri"/>
      <family val="2"/>
      <scheme val="minor"/>
    </font>
    <font>
      <b/>
      <u/>
      <sz val="11"/>
      <name val="Calibri"/>
      <family val="2"/>
      <scheme val="minor"/>
    </font>
    <font>
      <b/>
      <sz val="11"/>
      <color rgb="FFFF0000"/>
      <name val="Calibri"/>
      <family val="2"/>
      <scheme val="minor"/>
    </font>
    <font>
      <sz val="9"/>
      <color rgb="FF000000"/>
      <name val="Arial"/>
      <family val="2"/>
    </font>
    <font>
      <b/>
      <sz val="11"/>
      <color rgb="FFFFFFFF"/>
      <name val="Calibri"/>
      <family val="2"/>
      <scheme val="minor"/>
    </font>
    <font>
      <sz val="11"/>
      <color rgb="FF00000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38AC98"/>
        <bgColor indexed="64"/>
      </patternFill>
    </fill>
    <fill>
      <patternFill patternType="solid">
        <fgColor rgb="FF95CFC5"/>
        <bgColor indexed="64"/>
      </patternFill>
    </fill>
    <fill>
      <patternFill patternType="lightUp">
        <fgColor theme="2" tint="-9.9948118533890809E-2"/>
        <bgColor indexed="65"/>
      </patternFill>
    </fill>
    <fill>
      <patternFill patternType="gray0625">
        <fgColor rgb="FF38AC98"/>
        <bgColor rgb="FF95CFC5"/>
      </patternFill>
    </fill>
    <fill>
      <patternFill patternType="solid">
        <fgColor theme="3"/>
        <bgColor indexed="64"/>
      </patternFill>
    </fill>
    <fill>
      <patternFill patternType="solid">
        <fgColor theme="0"/>
        <bgColor indexed="64"/>
      </patternFill>
    </fill>
    <fill>
      <patternFill patternType="gray125">
        <fgColor rgb="FF38AC98"/>
        <bgColor rgb="FF95CFC5"/>
      </patternFill>
    </fill>
    <fill>
      <patternFill patternType="solid">
        <fgColor theme="4"/>
        <bgColor indexed="64"/>
      </patternFill>
    </fill>
    <fill>
      <patternFill patternType="solid">
        <fgColor rgb="FFFF6600"/>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hair">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bottom style="double">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43" fontId="1" fillId="0" borderId="0" applyFont="0" applyFill="0" applyBorder="0" applyAlignment="0" applyProtection="0"/>
  </cellStyleXfs>
  <cellXfs count="386">
    <xf numFmtId="0" fontId="0" fillId="0" borderId="0" xfId="0"/>
    <xf numFmtId="0" fontId="4" fillId="0" borderId="1" xfId="0" applyFont="1" applyBorder="1" applyAlignment="1">
      <alignment vertical="center"/>
    </xf>
    <xf numFmtId="0" fontId="4" fillId="3" borderId="4" xfId="0" applyFont="1" applyFill="1" applyBorder="1" applyAlignment="1">
      <alignment horizontal="center" vertical="center"/>
    </xf>
    <xf numFmtId="164" fontId="0" fillId="3" borderId="2" xfId="0" applyNumberFormat="1" applyFill="1" applyBorder="1" applyAlignment="1">
      <alignment vertical="center"/>
    </xf>
    <xf numFmtId="164" fontId="0" fillId="3" borderId="3" xfId="0" applyNumberFormat="1" applyFill="1" applyBorder="1" applyAlignment="1">
      <alignment vertical="center"/>
    </xf>
    <xf numFmtId="0" fontId="4" fillId="3" borderId="0" xfId="0" applyFont="1" applyFill="1" applyAlignment="1">
      <alignment horizontal="center" vertical="center"/>
    </xf>
    <xf numFmtId="0" fontId="4" fillId="4" borderId="4" xfId="0" applyFont="1" applyFill="1" applyBorder="1" applyAlignment="1">
      <alignment horizontal="center" vertical="center"/>
    </xf>
    <xf numFmtId="164" fontId="0" fillId="4" borderId="2" xfId="0" applyNumberFormat="1" applyFill="1" applyBorder="1" applyAlignment="1">
      <alignment vertical="center"/>
    </xf>
    <xf numFmtId="164" fontId="0" fillId="4" borderId="3" xfId="0" applyNumberForma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4" fillId="5" borderId="4" xfId="0" applyFont="1" applyFill="1" applyBorder="1" applyAlignment="1">
      <alignment horizontal="center" vertical="center"/>
    </xf>
    <xf numFmtId="164" fontId="0" fillId="5" borderId="2" xfId="0" applyNumberFormat="1" applyFill="1" applyBorder="1" applyAlignment="1">
      <alignment vertical="center"/>
    </xf>
    <xf numFmtId="164" fontId="0" fillId="5" borderId="3" xfId="0" applyNumberFormat="1" applyFill="1" applyBorder="1" applyAlignment="1">
      <alignment vertical="center"/>
    </xf>
    <xf numFmtId="0" fontId="0" fillId="0" borderId="0" xfId="0" applyAlignment="1">
      <alignment horizontal="center" vertical="top"/>
    </xf>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5" xfId="0" applyBorder="1" applyAlignment="1">
      <alignment horizontal="center" vertical="center"/>
    </xf>
    <xf numFmtId="0" fontId="6" fillId="0" borderId="6" xfId="0" applyFont="1" applyBorder="1" applyAlignment="1">
      <alignment vertical="top"/>
    </xf>
    <xf numFmtId="0" fontId="4" fillId="0" borderId="6" xfId="0" applyFont="1" applyBorder="1" applyAlignment="1">
      <alignment vertical="top" wrapText="1"/>
    </xf>
    <xf numFmtId="0" fontId="0" fillId="0" borderId="5" xfId="0" applyBorder="1" applyAlignment="1">
      <alignment horizontal="center" vertical="top"/>
    </xf>
    <xf numFmtId="0" fontId="6" fillId="0" borderId="5" xfId="0" applyFont="1" applyBorder="1" applyAlignment="1">
      <alignment vertical="top"/>
    </xf>
    <xf numFmtId="0" fontId="0" fillId="0" borderId="5" xfId="0" applyBorder="1" applyAlignment="1">
      <alignment vertical="top" wrapText="1"/>
    </xf>
    <xf numFmtId="165" fontId="0" fillId="0" borderId="0" xfId="1" applyNumberFormat="1" applyFont="1" applyAlignment="1">
      <alignment vertical="top"/>
    </xf>
    <xf numFmtId="0" fontId="0" fillId="8" borderId="7" xfId="0" applyFill="1" applyBorder="1" applyAlignment="1">
      <alignment vertical="top" wrapText="1"/>
    </xf>
    <xf numFmtId="0" fontId="0" fillId="8" borderId="0" xfId="0" applyFill="1" applyAlignment="1">
      <alignment vertical="top" wrapText="1"/>
    </xf>
    <xf numFmtId="0" fontId="4" fillId="0" borderId="5" xfId="0" applyFont="1" applyBorder="1" applyAlignment="1">
      <alignment vertical="top"/>
    </xf>
    <xf numFmtId="0" fontId="5" fillId="0" borderId="5" xfId="0" applyFont="1" applyBorder="1" applyAlignment="1">
      <alignment vertical="top"/>
    </xf>
    <xf numFmtId="0" fontId="4" fillId="0" borderId="5" xfId="0" applyFont="1" applyBorder="1" applyAlignment="1">
      <alignment vertical="top" wrapText="1"/>
    </xf>
    <xf numFmtId="0" fontId="4" fillId="0" borderId="0" xfId="0" applyFont="1"/>
    <xf numFmtId="6" fontId="0" fillId="0" borderId="0" xfId="0" applyNumberFormat="1"/>
    <xf numFmtId="0" fontId="0" fillId="0" borderId="0" xfId="0" applyAlignment="1">
      <alignment horizontal="center" vertical="center" wrapText="1"/>
    </xf>
    <xf numFmtId="6" fontId="0" fillId="0" borderId="0" xfId="0" applyNumberFormat="1" applyAlignment="1">
      <alignment horizontal="center" vertical="center"/>
    </xf>
    <xf numFmtId="0" fontId="0" fillId="0" borderId="0" xfId="0" applyAlignment="1">
      <alignment horizontal="center" vertical="center"/>
    </xf>
    <xf numFmtId="165" fontId="0" fillId="0" borderId="5" xfId="1" applyNumberFormat="1" applyFont="1" applyBorder="1" applyAlignment="1">
      <alignment horizontal="center" vertical="center"/>
    </xf>
    <xf numFmtId="0" fontId="4" fillId="0" borderId="6" xfId="0" applyFont="1" applyBorder="1" applyAlignment="1">
      <alignment horizontal="center" vertical="top"/>
    </xf>
    <xf numFmtId="9" fontId="0" fillId="0" borderId="0" xfId="2" applyFont="1"/>
    <xf numFmtId="166" fontId="0" fillId="0" borderId="0" xfId="2" applyNumberFormat="1" applyFont="1"/>
    <xf numFmtId="10" fontId="0" fillId="0" borderId="0" xfId="2" applyNumberFormat="1" applyFont="1"/>
    <xf numFmtId="0" fontId="4" fillId="0" borderId="0" xfId="0" applyFont="1" applyAlignment="1">
      <alignment horizontal="center"/>
    </xf>
    <xf numFmtId="165" fontId="0" fillId="0" borderId="0" xfId="1" applyNumberFormat="1" applyFont="1"/>
    <xf numFmtId="0" fontId="0" fillId="0" borderId="0" xfId="0" applyAlignment="1">
      <alignment horizontal="center"/>
    </xf>
    <xf numFmtId="0" fontId="0" fillId="0" borderId="8" xfId="0" applyBorder="1"/>
    <xf numFmtId="0" fontId="0" fillId="6" borderId="0" xfId="0" applyFill="1"/>
    <xf numFmtId="0" fontId="4" fillId="7" borderId="0" xfId="0" applyFont="1" applyFill="1"/>
    <xf numFmtId="0" fontId="0" fillId="7" borderId="0" xfId="0" applyFill="1"/>
    <xf numFmtId="0" fontId="0" fillId="0" borderId="0" xfId="0" applyFill="1"/>
    <xf numFmtId="1" fontId="0" fillId="0" borderId="0" xfId="0" applyNumberFormat="1" applyAlignment="1">
      <alignment horizontal="center" vertical="center"/>
    </xf>
    <xf numFmtId="0" fontId="8" fillId="0" borderId="0" xfId="0" applyFont="1"/>
    <xf numFmtId="0" fontId="9" fillId="6" borderId="0" xfId="0" applyFont="1" applyFill="1"/>
    <xf numFmtId="0" fontId="0" fillId="0" borderId="5" xfId="0" applyBorder="1"/>
    <xf numFmtId="0" fontId="4" fillId="0" borderId="5" xfId="0" applyFont="1" applyBorder="1"/>
    <xf numFmtId="0" fontId="4" fillId="10" borderId="0" xfId="0" applyFont="1" applyFill="1"/>
    <xf numFmtId="0" fontId="0" fillId="10" borderId="0" xfId="0" applyFill="1"/>
    <xf numFmtId="0" fontId="0" fillId="11" borderId="0" xfId="0" applyFill="1" applyAlignment="1">
      <alignment wrapText="1"/>
    </xf>
    <xf numFmtId="0" fontId="0" fillId="11" borderId="0" xfId="0" applyFill="1"/>
    <xf numFmtId="0" fontId="9" fillId="11" borderId="0" xfId="0" applyFont="1" applyFill="1"/>
    <xf numFmtId="10" fontId="0" fillId="0" borderId="0" xfId="0" applyNumberFormat="1"/>
    <xf numFmtId="6" fontId="0" fillId="9" borderId="0" xfId="0" applyNumberFormat="1" applyFill="1" applyAlignment="1" applyProtection="1">
      <alignment horizontal="center" vertical="center"/>
      <protection locked="0"/>
    </xf>
    <xf numFmtId="0" fontId="0" fillId="0" borderId="5" xfId="0" applyBorder="1" applyAlignment="1" applyProtection="1">
      <alignment horizontal="center" vertical="center"/>
      <protection locked="0"/>
    </xf>
    <xf numFmtId="6" fontId="0" fillId="9" borderId="0" xfId="0" applyNumberFormat="1" applyFill="1" applyBorder="1" applyAlignment="1" applyProtection="1">
      <alignment horizontal="center" vertical="center"/>
      <protection locked="0"/>
    </xf>
    <xf numFmtId="165" fontId="11" fillId="0" borderId="7" xfId="1" applyNumberFormat="1" applyFont="1" applyBorder="1"/>
    <xf numFmtId="0" fontId="0" fillId="0" borderId="0" xfId="0" applyBorder="1" applyAlignment="1">
      <alignment vertical="top"/>
    </xf>
    <xf numFmtId="0" fontId="0" fillId="0" borderId="0" xfId="0" applyBorder="1" applyAlignment="1" applyProtection="1">
      <alignment vertical="top"/>
      <protection locked="0"/>
    </xf>
    <xf numFmtId="1" fontId="0" fillId="9" borderId="0" xfId="0" applyNumberFormat="1" applyFill="1" applyBorder="1" applyAlignment="1" applyProtection="1">
      <alignment horizontal="center" vertical="center"/>
      <protection locked="0"/>
    </xf>
    <xf numFmtId="164" fontId="0" fillId="0" borderId="0" xfId="0" applyNumberFormat="1" applyFill="1" applyBorder="1" applyAlignment="1">
      <alignment vertical="center"/>
    </xf>
    <xf numFmtId="0" fontId="12" fillId="0" borderId="0" xfId="0" applyFont="1" applyFill="1"/>
    <xf numFmtId="0" fontId="4" fillId="3" borderId="0" xfId="0" applyFont="1" applyFill="1" applyAlignment="1">
      <alignment horizontal="center" vertical="center"/>
    </xf>
    <xf numFmtId="164" fontId="0" fillId="3" borderId="2" xfId="0" applyNumberFormat="1" applyFill="1" applyBorder="1" applyAlignment="1" applyProtection="1">
      <alignment vertical="center"/>
      <protection locked="0"/>
    </xf>
    <xf numFmtId="164" fontId="0" fillId="4" borderId="2" xfId="0" applyNumberFormat="1" applyFill="1" applyBorder="1" applyAlignment="1" applyProtection="1">
      <alignment vertical="center"/>
      <protection locked="0"/>
    </xf>
    <xf numFmtId="164" fontId="0" fillId="5" borderId="2" xfId="0" applyNumberFormat="1" applyFill="1" applyBorder="1" applyAlignment="1" applyProtection="1">
      <alignment vertical="center"/>
      <protection locked="0"/>
    </xf>
    <xf numFmtId="9" fontId="3" fillId="0" borderId="0" xfId="2" applyFont="1"/>
    <xf numFmtId="164" fontId="0" fillId="4" borderId="2" xfId="0" applyNumberFormat="1" applyFont="1" applyFill="1" applyBorder="1" applyAlignment="1">
      <alignment vertical="center"/>
    </xf>
    <xf numFmtId="6" fontId="0" fillId="0" borderId="5" xfId="0" applyNumberFormat="1" applyBorder="1" applyAlignment="1">
      <alignment horizontal="center" vertical="center"/>
    </xf>
    <xf numFmtId="0" fontId="4" fillId="3" borderId="0" xfId="0" applyFont="1" applyFill="1" applyAlignment="1">
      <alignment horizontal="center" vertical="center"/>
    </xf>
    <xf numFmtId="164" fontId="3" fillId="3" borderId="3" xfId="0" applyNumberFormat="1" applyFont="1" applyFill="1" applyBorder="1" applyAlignment="1">
      <alignment vertical="center"/>
    </xf>
    <xf numFmtId="164" fontId="3" fillId="3" borderId="2" xfId="0" applyNumberFormat="1" applyFont="1" applyFill="1" applyBorder="1" applyAlignment="1">
      <alignment vertical="center"/>
    </xf>
    <xf numFmtId="164" fontId="3" fillId="4" borderId="3" xfId="0" applyNumberFormat="1" applyFont="1" applyFill="1" applyBorder="1" applyAlignment="1">
      <alignment vertical="center"/>
    </xf>
    <xf numFmtId="164" fontId="3" fillId="4" borderId="2" xfId="0" applyNumberFormat="1" applyFont="1" applyFill="1" applyBorder="1" applyAlignment="1">
      <alignment vertical="center"/>
    </xf>
    <xf numFmtId="164" fontId="3" fillId="5" borderId="3" xfId="0" applyNumberFormat="1" applyFont="1" applyFill="1" applyBorder="1" applyAlignment="1">
      <alignment vertical="center"/>
    </xf>
    <xf numFmtId="164" fontId="3" fillId="5" borderId="2" xfId="0" applyNumberFormat="1" applyFont="1" applyFill="1" applyBorder="1" applyAlignment="1">
      <alignment vertical="center"/>
    </xf>
    <xf numFmtId="0" fontId="2" fillId="0" borderId="0" xfId="0" applyFont="1" applyFill="1" applyAlignment="1">
      <alignment vertical="top"/>
    </xf>
    <xf numFmtId="0" fontId="2" fillId="0" borderId="0" xfId="0" applyFont="1" applyFill="1" applyAlignment="1">
      <alignment horizontal="center" vertical="top"/>
    </xf>
    <xf numFmtId="1" fontId="0" fillId="0" borderId="0" xfId="0" applyNumberFormat="1"/>
    <xf numFmtId="0" fontId="0" fillId="0" borderId="10" xfId="0" applyBorder="1"/>
    <xf numFmtId="165" fontId="0" fillId="0" borderId="10" xfId="1" applyNumberFormat="1" applyFont="1" applyBorder="1"/>
    <xf numFmtId="0" fontId="4" fillId="3" borderId="4" xfId="0" applyFont="1" applyFill="1" applyBorder="1" applyAlignment="1" applyProtection="1">
      <alignment horizontal="center" vertical="center"/>
    </xf>
    <xf numFmtId="164" fontId="0" fillId="3" borderId="2" xfId="0" applyNumberFormat="1" applyFill="1" applyBorder="1" applyAlignment="1" applyProtection="1">
      <alignment vertical="center"/>
    </xf>
    <xf numFmtId="164" fontId="0" fillId="0" borderId="0" xfId="0" applyNumberFormat="1" applyFill="1" applyBorder="1" applyAlignment="1" applyProtection="1">
      <alignment vertical="center"/>
    </xf>
    <xf numFmtId="0" fontId="0" fillId="0" borderId="0" xfId="0" applyProtection="1"/>
    <xf numFmtId="164" fontId="0" fillId="3" borderId="3" xfId="0" applyNumberFormat="1" applyFill="1" applyBorder="1" applyAlignment="1" applyProtection="1">
      <alignment vertical="center"/>
      <protection locked="0"/>
    </xf>
    <xf numFmtId="170" fontId="0" fillId="3" borderId="3" xfId="0" applyNumberFormat="1" applyFill="1" applyBorder="1" applyAlignment="1" applyProtection="1">
      <alignment vertical="center"/>
      <protection locked="0"/>
    </xf>
    <xf numFmtId="0" fontId="0" fillId="0" borderId="0" xfId="0" applyBorder="1" applyAlignment="1">
      <alignment vertical="top" wrapText="1"/>
    </xf>
    <xf numFmtId="0" fontId="0" fillId="0" borderId="0" xfId="0" applyBorder="1" applyAlignment="1">
      <alignment horizontal="center" vertical="center" wrapText="1"/>
    </xf>
    <xf numFmtId="6" fontId="0" fillId="0" borderId="0" xfId="0" applyNumberFormat="1" applyBorder="1" applyAlignment="1">
      <alignment horizontal="center" vertical="center"/>
    </xf>
    <xf numFmtId="0" fontId="0" fillId="0" borderId="0" xfId="0" applyBorder="1" applyAlignment="1" applyProtection="1">
      <alignment vertical="top" wrapText="1"/>
      <protection locked="0"/>
    </xf>
    <xf numFmtId="0" fontId="6" fillId="8" borderId="0" xfId="0" applyFont="1" applyFill="1" applyBorder="1" applyAlignment="1">
      <alignment vertical="top"/>
    </xf>
    <xf numFmtId="0" fontId="6" fillId="8" borderId="0" xfId="0" applyFont="1" applyFill="1" applyBorder="1" applyAlignment="1" applyProtection="1">
      <alignment vertical="top"/>
      <protection locked="0"/>
    </xf>
    <xf numFmtId="0" fontId="0" fillId="8" borderId="0" xfId="0" applyFill="1" applyBorder="1" applyAlignment="1">
      <alignment vertical="top" wrapText="1"/>
    </xf>
    <xf numFmtId="0" fontId="0" fillId="8" borderId="0" xfId="0" applyFill="1" applyBorder="1" applyAlignment="1" applyProtection="1">
      <alignment vertical="top" wrapText="1"/>
      <protection locked="0"/>
    </xf>
    <xf numFmtId="6" fontId="0" fillId="0" borderId="0" xfId="0" applyNumberFormat="1" applyFill="1" applyBorder="1" applyAlignment="1">
      <alignment horizontal="center" vertical="center"/>
    </xf>
    <xf numFmtId="0" fontId="0" fillId="0" borderId="7" xfId="0" applyBorder="1" applyAlignment="1">
      <alignment vertical="top"/>
    </xf>
    <xf numFmtId="0" fontId="0" fillId="0" borderId="7" xfId="0" applyBorder="1" applyAlignment="1">
      <alignment vertical="top" wrapText="1"/>
    </xf>
    <xf numFmtId="0" fontId="0" fillId="0" borderId="7" xfId="0" applyBorder="1" applyAlignment="1">
      <alignment horizontal="center" vertical="center"/>
    </xf>
    <xf numFmtId="0" fontId="0" fillId="0" borderId="0" xfId="0" applyBorder="1"/>
    <xf numFmtId="0" fontId="0" fillId="0" borderId="5" xfId="0" applyBorder="1" applyAlignment="1" applyProtection="1">
      <alignment vertical="top" wrapText="1"/>
      <protection locked="0"/>
    </xf>
    <xf numFmtId="1" fontId="0" fillId="12" borderId="0" xfId="0" applyNumberFormat="1" applyFill="1" applyAlignment="1">
      <alignment horizontal="center" vertical="center"/>
    </xf>
    <xf numFmtId="170" fontId="0" fillId="0" borderId="0" xfId="0" applyNumberFormat="1"/>
    <xf numFmtId="170" fontId="3" fillId="3" borderId="3" xfId="0" applyNumberFormat="1" applyFont="1" applyFill="1" applyBorder="1" applyAlignment="1">
      <alignment vertical="center"/>
    </xf>
    <xf numFmtId="0" fontId="2" fillId="13" borderId="0" xfId="0" applyFont="1" applyFill="1" applyAlignment="1">
      <alignment horizontal="center" vertical="top"/>
    </xf>
    <xf numFmtId="0" fontId="2" fillId="13" borderId="0" xfId="0" applyFont="1" applyFill="1" applyAlignment="1">
      <alignment vertical="top"/>
    </xf>
    <xf numFmtId="0" fontId="2" fillId="13" borderId="0" xfId="0" applyFont="1" applyFill="1" applyAlignment="1">
      <alignment vertical="top" wrapText="1"/>
    </xf>
    <xf numFmtId="0" fontId="4" fillId="3" borderId="0" xfId="0" applyFont="1" applyFill="1" applyAlignment="1">
      <alignment horizontal="center" vertical="center"/>
    </xf>
    <xf numFmtId="0" fontId="0" fillId="0" borderId="0" xfId="0" applyFont="1" applyAlignment="1">
      <alignment vertical="top" wrapText="1"/>
    </xf>
    <xf numFmtId="0" fontId="0" fillId="0" borderId="0" xfId="0" applyFont="1" applyAlignment="1">
      <alignment horizontal="center" vertical="center" wrapText="1"/>
    </xf>
    <xf numFmtId="0" fontId="0" fillId="0" borderId="0" xfId="0" applyFont="1"/>
    <xf numFmtId="171" fontId="0" fillId="0" borderId="0" xfId="0" applyNumberFormat="1" applyFont="1" applyAlignment="1">
      <alignment horizontal="center" vertical="center"/>
    </xf>
    <xf numFmtId="9" fontId="0" fillId="9" borderId="0" xfId="2" applyFont="1" applyFill="1" applyBorder="1" applyAlignment="1" applyProtection="1">
      <alignment horizontal="center" vertical="center"/>
      <protection locked="0"/>
    </xf>
    <xf numFmtId="0" fontId="0" fillId="0" borderId="0" xfId="0" applyAlignment="1">
      <alignment wrapText="1"/>
    </xf>
    <xf numFmtId="0" fontId="4" fillId="3" borderId="11" xfId="0" applyFont="1" applyFill="1" applyBorder="1" applyAlignment="1">
      <alignment horizontal="center" vertical="center"/>
    </xf>
    <xf numFmtId="164" fontId="0" fillId="3" borderId="12" xfId="0" applyNumberFormat="1" applyFill="1" applyBorder="1" applyAlignment="1" applyProtection="1">
      <alignment vertical="center"/>
    </xf>
    <xf numFmtId="170" fontId="0" fillId="3" borderId="12" xfId="0" applyNumberFormat="1" applyFill="1" applyBorder="1" applyAlignment="1" applyProtection="1">
      <alignment vertical="center"/>
      <protection locked="0"/>
    </xf>
    <xf numFmtId="0" fontId="4" fillId="3" borderId="0" xfId="0" applyFont="1" applyFill="1" applyAlignment="1">
      <alignment vertical="center"/>
    </xf>
    <xf numFmtId="0" fontId="4" fillId="4" borderId="11" xfId="0" applyFont="1" applyFill="1" applyBorder="1" applyAlignment="1">
      <alignment horizontal="center" vertical="center"/>
    </xf>
    <xf numFmtId="164" fontId="0" fillId="4" borderId="12" xfId="0" applyNumberFormat="1" applyFill="1" applyBorder="1" applyAlignment="1" applyProtection="1">
      <alignment vertical="center"/>
      <protection locked="0"/>
    </xf>
    <xf numFmtId="0" fontId="4" fillId="5" borderId="11" xfId="0" applyFont="1" applyFill="1" applyBorder="1" applyAlignment="1">
      <alignment horizontal="center" vertical="center"/>
    </xf>
    <xf numFmtId="164" fontId="0" fillId="5" borderId="12" xfId="0" applyNumberFormat="1" applyFill="1" applyBorder="1" applyAlignment="1" applyProtection="1">
      <alignment vertical="center"/>
      <protection locked="0"/>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64" fontId="0" fillId="0" borderId="0" xfId="0" applyNumberFormat="1" applyFill="1" applyBorder="1" applyAlignment="1" applyProtection="1">
      <alignment vertical="center"/>
      <protection locked="0"/>
    </xf>
    <xf numFmtId="0" fontId="4" fillId="0" borderId="0" xfId="0" applyFont="1" applyFill="1" applyAlignment="1">
      <alignment vertical="center"/>
    </xf>
    <xf numFmtId="0" fontId="4" fillId="0" borderId="0" xfId="0" applyFont="1" applyFill="1" applyAlignment="1">
      <alignment horizontal="center" vertical="center"/>
    </xf>
    <xf numFmtId="170" fontId="0" fillId="0" borderId="0" xfId="0" applyNumberFormat="1" applyFill="1" applyBorder="1" applyAlignment="1" applyProtection="1">
      <alignment vertical="center"/>
      <protection locked="0"/>
    </xf>
    <xf numFmtId="165" fontId="11" fillId="0" borderId="0" xfId="1" applyNumberFormat="1" applyFont="1"/>
    <xf numFmtId="171" fontId="0" fillId="9" borderId="0" xfId="0" applyNumberFormat="1" applyFont="1" applyFill="1" applyAlignment="1" applyProtection="1">
      <alignment horizontal="center" vertical="center"/>
      <protection locked="0"/>
    </xf>
    <xf numFmtId="0" fontId="11" fillId="0" borderId="0" xfId="0" applyFont="1"/>
    <xf numFmtId="167" fontId="11" fillId="0" borderId="0" xfId="0" applyNumberFormat="1" applyFont="1"/>
    <xf numFmtId="0" fontId="11" fillId="0" borderId="0" xfId="0" applyFont="1" applyFill="1"/>
    <xf numFmtId="167" fontId="11" fillId="0" borderId="0" xfId="0" applyNumberFormat="1" applyFont="1" applyFill="1"/>
    <xf numFmtId="165" fontId="11" fillId="0" borderId="0" xfId="1" applyNumberFormat="1" applyFont="1" applyBorder="1"/>
    <xf numFmtId="165" fontId="11" fillId="0" borderId="0" xfId="0" applyNumberFormat="1" applyFont="1" applyFill="1"/>
    <xf numFmtId="165" fontId="11" fillId="0" borderId="0" xfId="1" applyNumberFormat="1" applyFont="1" applyFill="1"/>
    <xf numFmtId="0" fontId="11" fillId="0" borderId="7" xfId="0" applyFont="1" applyBorder="1"/>
    <xf numFmtId="0" fontId="13" fillId="7" borderId="0" xfId="0" applyFont="1" applyFill="1"/>
    <xf numFmtId="165" fontId="11" fillId="0" borderId="0" xfId="0" applyNumberFormat="1" applyFont="1"/>
    <xf numFmtId="168" fontId="11" fillId="0" borderId="0" xfId="0" applyNumberFormat="1" applyFont="1"/>
    <xf numFmtId="6" fontId="11" fillId="0" borderId="0" xfId="0" applyNumberFormat="1" applyFont="1" applyBorder="1"/>
    <xf numFmtId="0" fontId="15" fillId="0" borderId="0" xfId="0" applyFont="1" applyFill="1"/>
    <xf numFmtId="0" fontId="13" fillId="0" borderId="0" xfId="0" applyFont="1" applyFill="1" applyAlignment="1">
      <alignment horizontal="center"/>
    </xf>
    <xf numFmtId="0" fontId="13" fillId="0" borderId="8" xfId="0" applyFont="1" applyBorder="1"/>
    <xf numFmtId="167" fontId="13" fillId="0" borderId="8" xfId="0" applyNumberFormat="1" applyFont="1" applyBorder="1"/>
    <xf numFmtId="6" fontId="0" fillId="0" borderId="0" xfId="0" applyNumberFormat="1" applyAlignment="1" applyProtection="1">
      <alignment horizontal="center" vertical="center"/>
    </xf>
    <xf numFmtId="6" fontId="0" fillId="0" borderId="9" xfId="0" applyNumberFormat="1" applyBorder="1" applyAlignment="1" applyProtection="1">
      <alignment horizontal="center" vertical="center"/>
    </xf>
    <xf numFmtId="171" fontId="0" fillId="0" borderId="0" xfId="0" applyNumberFormat="1" applyFont="1" applyAlignment="1" applyProtection="1">
      <alignment horizontal="center" vertical="center"/>
    </xf>
    <xf numFmtId="6" fontId="0" fillId="0" borderId="0" xfId="0" applyNumberFormat="1" applyBorder="1" applyAlignment="1" applyProtection="1">
      <alignment horizontal="center" vertical="center"/>
    </xf>
    <xf numFmtId="6" fontId="0" fillId="0" borderId="7" xfId="0" applyNumberFormat="1" applyBorder="1" applyAlignment="1" applyProtection="1">
      <alignment horizontal="center" vertical="center"/>
    </xf>
    <xf numFmtId="169" fontId="0" fillId="0" borderId="0" xfId="1" applyNumberFormat="1" applyFont="1" applyBorder="1" applyAlignment="1" applyProtection="1">
      <alignment horizontal="center" vertical="center"/>
    </xf>
    <xf numFmtId="165" fontId="0" fillId="0" borderId="0" xfId="1" applyNumberFormat="1" applyFont="1" applyBorder="1" applyAlignment="1" applyProtection="1">
      <alignment vertical="top"/>
    </xf>
    <xf numFmtId="1" fontId="0" fillId="0" borderId="0" xfId="1" applyNumberFormat="1" applyFont="1" applyBorder="1" applyAlignment="1" applyProtection="1">
      <alignment horizontal="center" vertical="center"/>
    </xf>
    <xf numFmtId="0" fontId="0" fillId="0" borderId="0" xfId="0" applyBorder="1" applyProtection="1"/>
    <xf numFmtId="0" fontId="4" fillId="0" borderId="5" xfId="0" applyFont="1" applyBorder="1" applyAlignment="1" applyProtection="1">
      <alignment vertical="top" wrapText="1"/>
    </xf>
    <xf numFmtId="0" fontId="0" fillId="0" borderId="0" xfId="0" applyAlignment="1">
      <alignment horizontal="left" vertical="top" wrapText="1"/>
    </xf>
    <xf numFmtId="0" fontId="16" fillId="14" borderId="0" xfId="0" applyFont="1" applyFill="1" applyBorder="1" applyAlignment="1" applyProtection="1">
      <alignment horizontal="center" vertical="center"/>
      <protection locked="0"/>
    </xf>
    <xf numFmtId="0" fontId="0" fillId="14" borderId="0" xfId="0" applyFill="1" applyBorder="1" applyAlignment="1" applyProtection="1">
      <alignment horizontal="center" vertical="center"/>
      <protection locked="0"/>
    </xf>
    <xf numFmtId="9" fontId="0" fillId="14" borderId="0" xfId="2" applyFont="1" applyFill="1" applyAlignment="1" applyProtection="1">
      <alignment horizontal="center" vertical="center"/>
      <protection locked="0"/>
    </xf>
    <xf numFmtId="0" fontId="3" fillId="0" borderId="0" xfId="0" applyFont="1" applyBorder="1" applyAlignment="1">
      <alignment horizontal="center" vertical="center" wrapText="1"/>
    </xf>
    <xf numFmtId="6" fontId="3" fillId="0" borderId="0" xfId="0" applyNumberFormat="1" applyFont="1" applyBorder="1" applyAlignment="1">
      <alignment horizontal="center" vertical="center"/>
    </xf>
    <xf numFmtId="0" fontId="3" fillId="0" borderId="0" xfId="0" applyFont="1"/>
    <xf numFmtId="0" fontId="17" fillId="0" borderId="0" xfId="0" applyFont="1" applyBorder="1" applyAlignment="1">
      <alignment vertical="top"/>
    </xf>
    <xf numFmtId="0" fontId="17" fillId="0" borderId="0" xfId="0" applyFont="1" applyBorder="1" applyAlignment="1">
      <alignment vertical="top" wrapText="1"/>
    </xf>
    <xf numFmtId="0" fontId="4" fillId="14" borderId="0" xfId="0" applyFont="1" applyFill="1"/>
    <xf numFmtId="0" fontId="4" fillId="14" borderId="0" xfId="0" applyFont="1" applyFill="1" applyAlignment="1">
      <alignment horizontal="left" vertical="top" wrapText="1"/>
    </xf>
    <xf numFmtId="0" fontId="4" fillId="0" borderId="0" xfId="0" applyFont="1" applyAlignment="1">
      <alignment horizontal="left" vertical="top" wrapText="1"/>
    </xf>
    <xf numFmtId="0" fontId="0" fillId="14" borderId="0" xfId="0" applyFont="1" applyFill="1" applyBorder="1" applyAlignment="1" applyProtection="1">
      <alignment horizontal="center" vertical="top"/>
      <protection locked="0"/>
    </xf>
    <xf numFmtId="0" fontId="0" fillId="14" borderId="0" xfId="0" applyFill="1" applyBorder="1" applyAlignment="1" applyProtection="1">
      <alignment horizontal="center" vertical="top"/>
      <protection locked="0"/>
    </xf>
    <xf numFmtId="0" fontId="0" fillId="0" borderId="0" xfId="0" applyBorder="1" applyAlignment="1">
      <alignment horizontal="center" vertical="top" wrapText="1"/>
    </xf>
    <xf numFmtId="0" fontId="3" fillId="0" borderId="0" xfId="0" applyFont="1" applyAlignment="1">
      <alignment vertical="top"/>
    </xf>
    <xf numFmtId="0" fontId="0" fillId="14" borderId="0" xfId="0" applyFill="1" applyAlignment="1" applyProtection="1">
      <alignment horizontal="center" vertical="top"/>
      <protection locked="0"/>
    </xf>
    <xf numFmtId="0" fontId="0" fillId="14" borderId="0" xfId="0" applyFont="1" applyFill="1" applyAlignment="1" applyProtection="1">
      <alignment horizontal="center" vertical="top"/>
      <protection locked="0"/>
    </xf>
    <xf numFmtId="44" fontId="0" fillId="0" borderId="0" xfId="0" applyNumberFormat="1"/>
    <xf numFmtId="44" fontId="0" fillId="0" borderId="0" xfId="1" applyFont="1"/>
    <xf numFmtId="0" fontId="0" fillId="10" borderId="0" xfId="0" applyFill="1" applyAlignment="1">
      <alignment horizontal="center"/>
    </xf>
    <xf numFmtId="167" fontId="3" fillId="0" borderId="0" xfId="0" applyNumberFormat="1" applyFont="1"/>
    <xf numFmtId="167" fontId="3" fillId="0" borderId="0" xfId="0" applyNumberFormat="1" applyFont="1" applyFill="1"/>
    <xf numFmtId="165" fontId="3" fillId="0" borderId="0" xfId="1" applyNumberFormat="1" applyFont="1"/>
    <xf numFmtId="0" fontId="3" fillId="0" borderId="0" xfId="0" quotePrefix="1" applyFont="1"/>
    <xf numFmtId="165" fontId="18" fillId="0" borderId="0" xfId="1" quotePrefix="1" applyNumberFormat="1" applyFont="1"/>
    <xf numFmtId="165" fontId="3" fillId="0" borderId="0" xfId="0" applyNumberFormat="1" applyFont="1"/>
    <xf numFmtId="9" fontId="3" fillId="0" borderId="0" xfId="0" applyNumberFormat="1" applyFont="1"/>
    <xf numFmtId="168" fontId="3" fillId="0" borderId="0" xfId="0" applyNumberFormat="1" applyFont="1"/>
    <xf numFmtId="9" fontId="0" fillId="14" borderId="0" xfId="2" applyFont="1" applyFill="1" applyBorder="1" applyAlignment="1" applyProtection="1">
      <alignment horizontal="center" vertical="center"/>
      <protection locked="0"/>
    </xf>
    <xf numFmtId="9" fontId="0" fillId="0" borderId="0" xfId="2" applyFont="1" applyBorder="1" applyAlignment="1">
      <alignment horizontal="center" vertical="center"/>
    </xf>
    <xf numFmtId="9" fontId="0" fillId="14" borderId="7" xfId="2" applyFont="1" applyFill="1" applyBorder="1" applyAlignment="1" applyProtection="1">
      <alignment horizontal="center" vertical="center"/>
      <protection locked="0"/>
    </xf>
    <xf numFmtId="9" fontId="0" fillId="9" borderId="7" xfId="2" applyFont="1" applyFill="1" applyBorder="1" applyAlignment="1" applyProtection="1">
      <alignment horizontal="center" vertical="center"/>
      <protection locked="0"/>
    </xf>
    <xf numFmtId="9" fontId="0" fillId="0" borderId="7" xfId="2" applyFont="1" applyBorder="1" applyAlignment="1">
      <alignment horizontal="center" vertical="center"/>
    </xf>
    <xf numFmtId="0" fontId="0" fillId="0" borderId="0" xfId="0" applyBorder="1" applyAlignment="1" applyProtection="1">
      <alignment horizontal="center" vertical="top"/>
    </xf>
    <xf numFmtId="165" fontId="14" fillId="0" borderId="0" xfId="1" applyNumberFormat="1" applyFont="1"/>
    <xf numFmtId="0" fontId="13" fillId="0" borderId="7" xfId="0" applyFont="1" applyBorder="1"/>
    <xf numFmtId="167" fontId="13" fillId="0" borderId="7" xfId="0" applyNumberFormat="1" applyFont="1" applyBorder="1"/>
    <xf numFmtId="10" fontId="0" fillId="14" borderId="0" xfId="2" applyNumberFormat="1" applyFont="1" applyFill="1" applyBorder="1" applyAlignment="1" applyProtection="1">
      <alignment horizontal="center" vertical="center"/>
      <protection locked="0"/>
    </xf>
    <xf numFmtId="10" fontId="0" fillId="0" borderId="0" xfId="2" applyNumberFormat="1" applyFont="1" applyBorder="1" applyAlignment="1">
      <alignment horizontal="center" vertical="center"/>
    </xf>
    <xf numFmtId="10" fontId="0" fillId="14" borderId="7" xfId="2" applyNumberFormat="1" applyFont="1" applyFill="1" applyBorder="1" applyAlignment="1" applyProtection="1">
      <alignment horizontal="center" vertical="center"/>
      <protection locked="0"/>
    </xf>
    <xf numFmtId="10" fontId="0" fillId="0" borderId="7" xfId="2" applyNumberFormat="1" applyFont="1" applyBorder="1" applyAlignment="1">
      <alignment horizontal="center" vertical="center"/>
    </xf>
    <xf numFmtId="0" fontId="0" fillId="0" borderId="13" xfId="0" applyBorder="1" applyAlignment="1">
      <alignment vertical="top"/>
    </xf>
    <xf numFmtId="0" fontId="0" fillId="0" borderId="13" xfId="0" applyBorder="1" applyAlignment="1">
      <alignment vertical="top" wrapText="1"/>
    </xf>
    <xf numFmtId="0" fontId="0" fillId="0" borderId="13" xfId="0" applyBorder="1" applyAlignment="1">
      <alignment horizontal="center" vertical="center"/>
    </xf>
    <xf numFmtId="1" fontId="0" fillId="14" borderId="13" xfId="2" applyNumberFormat="1" applyFont="1" applyFill="1" applyBorder="1" applyAlignment="1" applyProtection="1">
      <alignment horizontal="center" vertical="center"/>
      <protection locked="0"/>
    </xf>
    <xf numFmtId="2" fontId="0" fillId="0" borderId="13" xfId="2" applyNumberFormat="1" applyFont="1" applyBorder="1" applyAlignment="1">
      <alignment horizontal="center" vertical="center"/>
    </xf>
    <xf numFmtId="167" fontId="13" fillId="0" borderId="7" xfId="0" applyNumberFormat="1" applyFont="1" applyFill="1" applyBorder="1"/>
    <xf numFmtId="0" fontId="3" fillId="0" borderId="0" xfId="0" applyFont="1" applyFill="1"/>
    <xf numFmtId="165" fontId="18" fillId="0" borderId="0" xfId="1" quotePrefix="1" applyNumberFormat="1" applyFont="1" applyFill="1"/>
    <xf numFmtId="165" fontId="3" fillId="0" borderId="0" xfId="1" applyNumberFormat="1" applyFont="1" applyFill="1"/>
    <xf numFmtId="165" fontId="14" fillId="0" borderId="0" xfId="1" applyNumberFormat="1" applyFont="1" applyFill="1"/>
    <xf numFmtId="165" fontId="11" fillId="0" borderId="7" xfId="1" applyNumberFormat="1" applyFont="1" applyFill="1" applyBorder="1"/>
    <xf numFmtId="165" fontId="3" fillId="0" borderId="0" xfId="0" applyNumberFormat="1" applyFont="1" applyFill="1"/>
    <xf numFmtId="167" fontId="13" fillId="0" borderId="8" xfId="0" applyNumberFormat="1" applyFont="1" applyFill="1" applyBorder="1"/>
    <xf numFmtId="172" fontId="0" fillId="0" borderId="0" xfId="0" applyNumberFormat="1"/>
    <xf numFmtId="0" fontId="13" fillId="0" borderId="0" xfId="0" applyFont="1"/>
    <xf numFmtId="0" fontId="13" fillId="0" borderId="0" xfId="0" applyFont="1" applyAlignment="1">
      <alignment horizontal="center"/>
    </xf>
    <xf numFmtId="166" fontId="11" fillId="0" borderId="0" xfId="2" applyNumberFormat="1" applyFont="1"/>
    <xf numFmtId="165" fontId="11" fillId="0" borderId="8" xfId="1" applyNumberFormat="1" applyFont="1" applyBorder="1"/>
    <xf numFmtId="166" fontId="11" fillId="0" borderId="8" xfId="2" applyNumberFormat="1" applyFont="1" applyBorder="1"/>
    <xf numFmtId="1" fontId="11" fillId="0" borderId="0" xfId="2" applyNumberFormat="1" applyFont="1" applyFill="1" applyBorder="1"/>
    <xf numFmtId="0" fontId="11" fillId="7" borderId="0" xfId="0" applyFont="1" applyFill="1"/>
    <xf numFmtId="0" fontId="11" fillId="0" borderId="0" xfId="0" applyFont="1" applyAlignment="1">
      <alignment horizontal="center"/>
    </xf>
    <xf numFmtId="0" fontId="11" fillId="0" borderId="0" xfId="0" applyFont="1" applyFill="1" applyAlignment="1">
      <alignment horizontal="center"/>
    </xf>
    <xf numFmtId="44" fontId="11" fillId="0" borderId="0" xfId="0" applyNumberFormat="1" applyFont="1"/>
    <xf numFmtId="44" fontId="11" fillId="0" borderId="0" xfId="0" applyNumberFormat="1" applyFont="1" applyFill="1"/>
    <xf numFmtId="1" fontId="0" fillId="0" borderId="0" xfId="0" applyNumberFormat="1" applyAlignment="1">
      <alignment horizontal="center"/>
    </xf>
    <xf numFmtId="6" fontId="0" fillId="0" borderId="6" xfId="0" applyNumberFormat="1" applyBorder="1"/>
    <xf numFmtId="6" fontId="0" fillId="0" borderId="10" xfId="0" applyNumberFormat="1" applyBorder="1"/>
    <xf numFmtId="166" fontId="0" fillId="0" borderId="0" xfId="2" applyNumberFormat="1" applyFont="1" applyBorder="1"/>
    <xf numFmtId="0" fontId="0" fillId="0" borderId="0" xfId="0" applyFill="1" applyBorder="1"/>
    <xf numFmtId="170" fontId="0" fillId="3" borderId="2" xfId="0" applyNumberFormat="1" applyFill="1" applyBorder="1" applyAlignment="1">
      <alignment vertical="center"/>
    </xf>
    <xf numFmtId="169" fontId="0" fillId="0" borderId="0" xfId="0" applyNumberFormat="1" applyAlignment="1">
      <alignment horizontal="center"/>
    </xf>
    <xf numFmtId="169" fontId="0" fillId="0" borderId="0" xfId="0" applyNumberFormat="1" applyFill="1" applyAlignment="1">
      <alignment horizontal="center" vertical="center"/>
    </xf>
    <xf numFmtId="0" fontId="11" fillId="0" borderId="0" xfId="0" applyFont="1" applyBorder="1" applyAlignment="1">
      <alignment vertical="top"/>
    </xf>
    <xf numFmtId="0" fontId="20" fillId="14" borderId="0" xfId="3" applyFill="1" applyAlignment="1">
      <alignment horizontal="left" vertical="top" wrapText="1"/>
    </xf>
    <xf numFmtId="0" fontId="11" fillId="0" borderId="7" xfId="0" applyFont="1" applyBorder="1" applyAlignment="1">
      <alignment vertical="top" wrapText="1"/>
    </xf>
    <xf numFmtId="0" fontId="11" fillId="0" borderId="7" xfId="0" applyFont="1" applyBorder="1" applyAlignment="1">
      <alignment horizontal="center" vertical="center"/>
    </xf>
    <xf numFmtId="1" fontId="11" fillId="9" borderId="0" xfId="0" applyNumberFormat="1" applyFont="1" applyFill="1" applyBorder="1" applyAlignment="1" applyProtection="1">
      <alignment horizontal="center" vertical="center"/>
      <protection locked="0"/>
    </xf>
    <xf numFmtId="0" fontId="11" fillId="0" borderId="0" xfId="0" applyFont="1" applyBorder="1" applyAlignment="1">
      <alignment vertical="top" wrapText="1"/>
    </xf>
    <xf numFmtId="0" fontId="11" fillId="0" borderId="0" xfId="0" applyFont="1" applyBorder="1" applyAlignment="1">
      <alignment horizontal="center" vertical="center"/>
    </xf>
    <xf numFmtId="0" fontId="11" fillId="14" borderId="0" xfId="0" applyFont="1" applyFill="1" applyBorder="1" applyAlignment="1" applyProtection="1">
      <alignment horizontal="center" vertical="top"/>
      <protection locked="0"/>
    </xf>
    <xf numFmtId="0" fontId="11" fillId="0" borderId="0" xfId="0" applyFont="1" applyBorder="1" applyAlignment="1" applyProtection="1">
      <alignment horizontal="center" vertical="top"/>
    </xf>
    <xf numFmtId="0" fontId="11" fillId="0" borderId="0" xfId="0" applyFont="1" applyBorder="1"/>
    <xf numFmtId="6" fontId="11" fillId="0" borderId="0" xfId="0" applyNumberFormat="1" applyFont="1" applyBorder="1" applyAlignment="1">
      <alignment horizontal="center" vertical="center"/>
    </xf>
    <xf numFmtId="6" fontId="11" fillId="9" borderId="0" xfId="0" applyNumberFormat="1" applyFont="1" applyFill="1" applyBorder="1" applyAlignment="1" applyProtection="1">
      <alignment horizontal="center" vertical="center"/>
      <protection locked="0"/>
    </xf>
    <xf numFmtId="6" fontId="11" fillId="0" borderId="0" xfId="0" applyNumberFormat="1" applyFont="1" applyBorder="1" applyAlignment="1" applyProtection="1">
      <alignment horizontal="center" vertical="center"/>
    </xf>
    <xf numFmtId="0" fontId="0" fillId="0" borderId="0" xfId="0" applyFill="1" applyBorder="1" applyAlignment="1">
      <alignment vertical="top"/>
    </xf>
    <xf numFmtId="0" fontId="0" fillId="0" borderId="0" xfId="0" applyFill="1" applyBorder="1" applyAlignment="1">
      <alignment vertical="top" wrapText="1"/>
    </xf>
    <xf numFmtId="0" fontId="20" fillId="0" borderId="0" xfId="3" applyAlignment="1"/>
    <xf numFmtId="1" fontId="11" fillId="0" borderId="0" xfId="1" applyNumberFormat="1" applyFont="1" applyBorder="1" applyAlignment="1" applyProtection="1">
      <alignment horizontal="center" vertical="center"/>
    </xf>
    <xf numFmtId="6" fontId="11" fillId="0" borderId="9" xfId="0" applyNumberFormat="1" applyFont="1" applyBorder="1" applyAlignment="1" applyProtection="1">
      <alignment horizontal="center" vertical="center"/>
    </xf>
    <xf numFmtId="169" fontId="0" fillId="0" borderId="0" xfId="0" applyNumberFormat="1" applyBorder="1" applyAlignment="1">
      <alignment horizontal="center" vertical="center" wrapText="1"/>
    </xf>
    <xf numFmtId="172" fontId="0" fillId="0" borderId="0" xfId="1" applyNumberFormat="1" applyFont="1" applyAlignment="1">
      <alignment horizontal="center" vertical="center"/>
    </xf>
    <xf numFmtId="172" fontId="0" fillId="0" borderId="0" xfId="1" applyNumberFormat="1" applyFont="1"/>
    <xf numFmtId="172" fontId="3" fillId="0" borderId="0" xfId="1" applyNumberFormat="1" applyFont="1"/>
    <xf numFmtId="0" fontId="4" fillId="0" borderId="0" xfId="0" applyFont="1" applyBorder="1" applyAlignment="1">
      <alignment vertical="top" wrapText="1"/>
    </xf>
    <xf numFmtId="0" fontId="0" fillId="0" borderId="0" xfId="0" applyFont="1" applyBorder="1" applyAlignment="1">
      <alignment vertical="top"/>
    </xf>
    <xf numFmtId="0" fontId="0" fillId="0" borderId="0" xfId="0" applyFont="1" applyBorder="1" applyAlignment="1">
      <alignment vertical="top" wrapText="1"/>
    </xf>
    <xf numFmtId="165" fontId="0" fillId="0" borderId="0" xfId="1" applyNumberFormat="1" applyFont="1" applyAlignment="1">
      <alignment horizontal="center" vertical="center"/>
    </xf>
    <xf numFmtId="0" fontId="11" fillId="0" borderId="7" xfId="0" applyFont="1" applyFill="1" applyBorder="1" applyAlignment="1">
      <alignment vertical="top"/>
    </xf>
    <xf numFmtId="0" fontId="11" fillId="0" borderId="7" xfId="0" applyFont="1" applyFill="1" applyBorder="1" applyAlignment="1">
      <alignment vertical="top" wrapText="1"/>
    </xf>
    <xf numFmtId="0" fontId="11" fillId="0" borderId="0" xfId="0" applyFont="1" applyFill="1" applyAlignment="1">
      <alignment vertical="top"/>
    </xf>
    <xf numFmtId="0" fontId="11" fillId="0" borderId="0" xfId="0" applyFont="1" applyFill="1" applyAlignment="1">
      <alignment vertical="top" wrapText="1"/>
    </xf>
    <xf numFmtId="0" fontId="11" fillId="0" borderId="0" xfId="0" applyFont="1" applyFill="1" applyBorder="1" applyAlignment="1">
      <alignment vertical="top"/>
    </xf>
    <xf numFmtId="0" fontId="11" fillId="0" borderId="0" xfId="0" applyFont="1" applyFill="1" applyBorder="1" applyAlignment="1">
      <alignment vertical="top" wrapText="1"/>
    </xf>
    <xf numFmtId="0" fontId="22" fillId="0" borderId="0" xfId="0" applyFont="1" applyFill="1" applyBorder="1" applyAlignment="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170" fontId="0" fillId="3" borderId="2" xfId="0" applyNumberFormat="1" applyFont="1" applyFill="1" applyBorder="1" applyAlignment="1">
      <alignment vertical="center"/>
    </xf>
    <xf numFmtId="164" fontId="0" fillId="3" borderId="2" xfId="0" applyNumberFormat="1" applyFont="1" applyFill="1" applyBorder="1" applyAlignment="1">
      <alignment vertical="center"/>
    </xf>
    <xf numFmtId="6" fontId="0" fillId="0" borderId="0" xfId="0" applyNumberFormat="1" applyAlignment="1">
      <alignment horizontal="center"/>
    </xf>
    <xf numFmtId="6" fontId="0" fillId="0" borderId="6" xfId="0" applyNumberFormat="1" applyBorder="1" applyAlignment="1">
      <alignment horizontal="center"/>
    </xf>
    <xf numFmtId="6" fontId="0" fillId="0" borderId="10" xfId="0" applyNumberFormat="1" applyBorder="1" applyAlignment="1">
      <alignment horizontal="center"/>
    </xf>
    <xf numFmtId="166" fontId="0" fillId="0" borderId="0" xfId="2" applyNumberFormat="1" applyFont="1" applyAlignment="1">
      <alignment horizontal="center"/>
    </xf>
    <xf numFmtId="166" fontId="0" fillId="0" borderId="10" xfId="2" applyNumberFormat="1" applyFont="1" applyBorder="1" applyAlignment="1">
      <alignment horizontal="center"/>
    </xf>
    <xf numFmtId="0" fontId="0" fillId="2" borderId="2" xfId="0" applyFont="1" applyFill="1" applyBorder="1" applyAlignment="1" applyProtection="1">
      <alignment vertical="center"/>
      <protection locked="0"/>
    </xf>
    <xf numFmtId="165" fontId="0" fillId="0" borderId="0" xfId="0" applyNumberFormat="1"/>
    <xf numFmtId="165" fontId="4" fillId="0" borderId="0" xfId="1" applyNumberFormat="1" applyFont="1"/>
    <xf numFmtId="165" fontId="4" fillId="0" borderId="0" xfId="0" applyNumberFormat="1" applyFont="1"/>
    <xf numFmtId="172" fontId="4" fillId="0" borderId="0" xfId="0" applyNumberFormat="1" applyFont="1"/>
    <xf numFmtId="0" fontId="15" fillId="0" borderId="0" xfId="0" applyFont="1"/>
    <xf numFmtId="6" fontId="11" fillId="0" borderId="0" xfId="0" applyNumberFormat="1" applyFont="1"/>
    <xf numFmtId="165" fontId="3" fillId="0" borderId="6" xfId="1" applyNumberFormat="1" applyFont="1" applyBorder="1"/>
    <xf numFmtId="165" fontId="11" fillId="0" borderId="0" xfId="1" applyNumberFormat="1" applyFont="1" applyFill="1" applyBorder="1"/>
    <xf numFmtId="165" fontId="3" fillId="0" borderId="0" xfId="1" applyNumberFormat="1" applyFont="1" applyBorder="1"/>
    <xf numFmtId="165" fontId="3" fillId="0" borderId="0" xfId="1" applyNumberFormat="1" applyFont="1" applyFill="1" applyBorder="1"/>
    <xf numFmtId="0" fontId="13" fillId="0" borderId="0" xfId="0" applyFont="1" applyBorder="1" applyAlignment="1">
      <alignment horizontal="center"/>
    </xf>
    <xf numFmtId="0" fontId="3" fillId="0" borderId="0" xfId="0" applyFont="1" applyBorder="1"/>
    <xf numFmtId="167" fontId="13" fillId="0" borderId="0" xfId="0" applyNumberFormat="1" applyFont="1" applyBorder="1"/>
    <xf numFmtId="0" fontId="4" fillId="0" borderId="0" xfId="0" applyFont="1" applyFill="1"/>
    <xf numFmtId="165" fontId="13" fillId="0" borderId="0" xfId="1" applyNumberFormat="1" applyFont="1" applyFill="1"/>
    <xf numFmtId="0" fontId="14" fillId="0" borderId="0" xfId="0" applyFont="1"/>
    <xf numFmtId="0" fontId="14" fillId="0" borderId="6" xfId="0" applyFont="1" applyBorder="1"/>
    <xf numFmtId="0" fontId="0" fillId="0" borderId="7" xfId="0" applyBorder="1"/>
    <xf numFmtId="166" fontId="11" fillId="0" borderId="7" xfId="2" applyNumberFormat="1" applyFont="1" applyBorder="1"/>
    <xf numFmtId="9" fontId="11" fillId="0" borderId="8" xfId="2" applyFont="1" applyBorder="1" applyAlignment="1">
      <alignment vertical="center"/>
    </xf>
    <xf numFmtId="9" fontId="11" fillId="0" borderId="0" xfId="2" applyFont="1" applyAlignment="1">
      <alignment vertical="center"/>
    </xf>
    <xf numFmtId="6" fontId="0" fillId="0" borderId="0" xfId="0" applyNumberFormat="1" applyFont="1" applyAlignment="1">
      <alignment horizontal="center"/>
    </xf>
    <xf numFmtId="167" fontId="0" fillId="0" borderId="0" xfId="0" applyNumberFormat="1" applyFont="1"/>
    <xf numFmtId="0" fontId="11" fillId="0" borderId="0" xfId="0" applyFont="1" applyAlignment="1">
      <alignment vertical="top" wrapText="1"/>
    </xf>
    <xf numFmtId="6" fontId="0" fillId="0" borderId="0" xfId="0" applyNumberFormat="1" applyFont="1" applyAlignment="1" applyProtection="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top" wrapText="1"/>
    </xf>
    <xf numFmtId="169" fontId="11" fillId="0" borderId="0" xfId="0" applyNumberFormat="1" applyFont="1" applyAlignment="1">
      <alignment horizontal="center"/>
    </xf>
    <xf numFmtId="169" fontId="11" fillId="0" borderId="0" xfId="0" applyNumberFormat="1" applyFont="1" applyFill="1" applyAlignment="1">
      <alignment horizontal="center" vertical="center"/>
    </xf>
    <xf numFmtId="169" fontId="11" fillId="0" borderId="0" xfId="1" applyNumberFormat="1" applyFont="1" applyBorder="1" applyAlignment="1" applyProtection="1">
      <alignment horizontal="center" vertical="center"/>
    </xf>
    <xf numFmtId="0" fontId="13" fillId="13" borderId="0" xfId="0" applyFont="1" applyFill="1" applyAlignment="1">
      <alignment vertical="top"/>
    </xf>
    <xf numFmtId="0" fontId="11" fillId="0" borderId="0" xfId="0" applyFont="1" applyAlignment="1">
      <alignment vertical="top"/>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5" xfId="0" applyFont="1" applyBorder="1" applyAlignment="1">
      <alignment vertical="top"/>
    </xf>
    <xf numFmtId="171" fontId="11" fillId="0" borderId="0" xfId="0" applyNumberFormat="1" applyFont="1" applyBorder="1" applyAlignment="1">
      <alignment horizontal="center" vertical="center"/>
    </xf>
    <xf numFmtId="0" fontId="11" fillId="0" borderId="5" xfId="0" applyFont="1" applyBorder="1"/>
    <xf numFmtId="6" fontId="11" fillId="0" borderId="5" xfId="0" applyNumberFormat="1" applyFont="1" applyBorder="1" applyAlignment="1">
      <alignment horizontal="center" vertical="center"/>
    </xf>
    <xf numFmtId="6" fontId="11" fillId="0" borderId="0" xfId="0" applyNumberFormat="1" applyFont="1" applyAlignment="1">
      <alignment horizontal="center" vertical="center"/>
    </xf>
    <xf numFmtId="0" fontId="11" fillId="0" borderId="5" xfId="0" applyFont="1" applyBorder="1" applyAlignment="1">
      <alignment horizontal="center" vertical="center"/>
    </xf>
    <xf numFmtId="9" fontId="11" fillId="14" borderId="7" xfId="2" applyFont="1" applyFill="1" applyBorder="1" applyAlignment="1" applyProtection="1">
      <alignment horizontal="center" vertical="center"/>
      <protection locked="0"/>
    </xf>
    <xf numFmtId="9" fontId="11" fillId="14" borderId="0" xfId="2" applyFont="1" applyFill="1" applyBorder="1" applyAlignment="1" applyProtection="1">
      <alignment horizontal="center" vertical="center"/>
      <protection locked="0"/>
    </xf>
    <xf numFmtId="9" fontId="11" fillId="14" borderId="0" xfId="2" applyFont="1" applyFill="1" applyAlignment="1" applyProtection="1">
      <alignment horizontal="center" vertical="center"/>
      <protection locked="0"/>
    </xf>
    <xf numFmtId="0" fontId="11" fillId="0" borderId="5" xfId="0" applyFont="1" applyBorder="1" applyAlignment="1" applyProtection="1">
      <alignment horizontal="center" vertical="center"/>
      <protection locked="0"/>
    </xf>
    <xf numFmtId="10" fontId="11" fillId="14" borderId="7" xfId="2" applyNumberFormat="1" applyFont="1" applyFill="1" applyBorder="1" applyAlignment="1" applyProtection="1">
      <alignment horizontal="center" vertical="center"/>
      <protection locked="0"/>
    </xf>
    <xf numFmtId="10" fontId="11" fillId="14" borderId="0" xfId="2" applyNumberFormat="1" applyFont="1" applyFill="1" applyBorder="1" applyAlignment="1" applyProtection="1">
      <alignment horizontal="center" vertical="center"/>
      <protection locked="0"/>
    </xf>
    <xf numFmtId="1" fontId="11" fillId="14" borderId="13" xfId="2" applyNumberFormat="1" applyFont="1" applyFill="1" applyBorder="1" applyAlignment="1" applyProtection="1">
      <alignment horizontal="center" vertical="center"/>
      <protection locked="0"/>
    </xf>
    <xf numFmtId="0" fontId="13" fillId="13" borderId="0" xfId="0" applyFont="1" applyFill="1" applyAlignment="1">
      <alignment horizontal="center" vertical="top"/>
    </xf>
    <xf numFmtId="172" fontId="11" fillId="0" borderId="0" xfId="1" applyNumberFormat="1" applyFont="1"/>
    <xf numFmtId="173" fontId="0" fillId="0" borderId="0" xfId="0" applyNumberFormat="1"/>
    <xf numFmtId="165" fontId="14" fillId="0" borderId="6" xfId="1" applyNumberFormat="1" applyFont="1" applyBorder="1"/>
    <xf numFmtId="6" fontId="0" fillId="0" borderId="0" xfId="0" applyNumberFormat="1" applyBorder="1" applyAlignment="1">
      <alignment horizontal="center" vertical="center" wrapText="1"/>
    </xf>
    <xf numFmtId="0" fontId="4" fillId="0" borderId="7" xfId="0" applyFont="1" applyFill="1" applyBorder="1" applyAlignment="1">
      <alignment horizontal="center" vertical="top"/>
    </xf>
    <xf numFmtId="0" fontId="4" fillId="0" borderId="0" xfId="0" applyFont="1" applyFill="1" applyBorder="1" applyAlignment="1">
      <alignment horizontal="center" vertical="top"/>
    </xf>
    <xf numFmtId="49" fontId="4" fillId="0" borderId="0" xfId="0" applyNumberFormat="1" applyFont="1" applyFill="1" applyBorder="1" applyAlignment="1">
      <alignment horizontal="center" vertical="top"/>
    </xf>
    <xf numFmtId="0" fontId="4" fillId="0" borderId="5" xfId="0" applyFont="1" applyFill="1" applyBorder="1" applyAlignment="1">
      <alignment horizontal="center" vertical="top"/>
    </xf>
    <xf numFmtId="0" fontId="24" fillId="0" borderId="0" xfId="0" applyFont="1" applyFill="1"/>
    <xf numFmtId="0" fontId="4" fillId="0" borderId="5" xfId="0" applyFont="1" applyFill="1" applyBorder="1"/>
    <xf numFmtId="49" fontId="4" fillId="0" borderId="5" xfId="0" applyNumberFormat="1" applyFont="1" applyFill="1" applyBorder="1" applyAlignment="1">
      <alignment horizontal="center" vertical="top"/>
    </xf>
    <xf numFmtId="49" fontId="13" fillId="0" borderId="0" xfId="0" applyNumberFormat="1" applyFont="1" applyFill="1" applyAlignment="1">
      <alignment horizontal="center" vertical="top"/>
    </xf>
    <xf numFmtId="49" fontId="4" fillId="0" borderId="7" xfId="0" applyNumberFormat="1" applyFont="1" applyFill="1" applyBorder="1" applyAlignment="1">
      <alignment horizontal="center" vertical="top"/>
    </xf>
    <xf numFmtId="49" fontId="4" fillId="0" borderId="0" xfId="0" applyNumberFormat="1" applyFont="1" applyFill="1" applyAlignment="1">
      <alignment horizontal="center" vertical="top"/>
    </xf>
    <xf numFmtId="49" fontId="4" fillId="0" borderId="13" xfId="0" applyNumberFormat="1" applyFont="1" applyFill="1" applyBorder="1" applyAlignment="1">
      <alignment horizontal="center" vertical="top"/>
    </xf>
    <xf numFmtId="165" fontId="13" fillId="0" borderId="0" xfId="1" applyNumberFormat="1" applyFont="1"/>
    <xf numFmtId="0" fontId="4" fillId="0" borderId="5" xfId="0" applyFont="1" applyBorder="1" applyAlignment="1" applyProtection="1">
      <alignment vertical="top" wrapText="1"/>
      <protection locked="0"/>
    </xf>
    <xf numFmtId="6" fontId="0" fillId="0" borderId="0" xfId="0" applyNumberFormat="1" applyBorder="1" applyAlignment="1" applyProtection="1">
      <alignment horizontal="center" vertical="center"/>
      <protection locked="0"/>
    </xf>
    <xf numFmtId="0" fontId="0" fillId="0" borderId="5" xfId="0" applyBorder="1" applyProtection="1">
      <protection locked="0"/>
    </xf>
    <xf numFmtId="0" fontId="26" fillId="6" borderId="0" xfId="0" applyFont="1" applyFill="1" applyAlignment="1">
      <alignment vertical="center"/>
    </xf>
    <xf numFmtId="0" fontId="26" fillId="6" borderId="0" xfId="0" applyFont="1" applyFill="1" applyAlignment="1">
      <alignment vertical="center" wrapText="1"/>
    </xf>
    <xf numFmtId="0" fontId="27" fillId="0" borderId="0" xfId="0" applyFont="1" applyAlignment="1">
      <alignment vertical="center"/>
    </xf>
    <xf numFmtId="0" fontId="25" fillId="0" borderId="0" xfId="0" applyFont="1" applyAlignment="1">
      <alignment vertical="center"/>
    </xf>
    <xf numFmtId="1" fontId="0" fillId="0" borderId="13" xfId="2" applyNumberFormat="1" applyFont="1" applyBorder="1" applyAlignment="1">
      <alignment horizontal="center" vertical="center"/>
    </xf>
    <xf numFmtId="0" fontId="4" fillId="3" borderId="0" xfId="0" applyFont="1" applyFill="1" applyAlignment="1">
      <alignment horizontal="center" vertical="center"/>
    </xf>
    <xf numFmtId="169" fontId="0" fillId="0" borderId="0" xfId="0" applyNumberFormat="1" applyAlignment="1">
      <alignment horizontal="center" vertical="center"/>
    </xf>
    <xf numFmtId="165" fontId="13" fillId="0" borderId="7" xfId="1" applyNumberFormat="1" applyFont="1" applyBorder="1"/>
    <xf numFmtId="0" fontId="0" fillId="0" borderId="0" xfId="0" applyAlignment="1">
      <alignment vertical="center"/>
    </xf>
    <xf numFmtId="0" fontId="4" fillId="0" borderId="7" xfId="0" applyFont="1" applyBorder="1" applyAlignment="1">
      <alignment horizontal="center" vertical="top"/>
    </xf>
    <xf numFmtId="0" fontId="4" fillId="0" borderId="0" xfId="0" applyFont="1" applyBorder="1" applyAlignment="1">
      <alignment horizontal="center" vertical="top"/>
    </xf>
    <xf numFmtId="49" fontId="4" fillId="0" borderId="0" xfId="0" applyNumberFormat="1" applyFont="1" applyBorder="1" applyAlignment="1">
      <alignment horizontal="center" vertical="top"/>
    </xf>
    <xf numFmtId="0" fontId="4" fillId="0" borderId="5" xfId="0" applyFont="1" applyBorder="1" applyAlignment="1">
      <alignment horizontal="center" vertical="top"/>
    </xf>
    <xf numFmtId="49" fontId="13" fillId="0" borderId="0" xfId="0" applyNumberFormat="1" applyFont="1" applyFill="1" applyBorder="1" applyAlignment="1">
      <alignment horizontal="center" vertical="top"/>
    </xf>
    <xf numFmtId="0" fontId="13" fillId="0" borderId="0" xfId="0" applyFont="1" applyFill="1" applyBorder="1" applyAlignment="1">
      <alignment horizontal="center" vertical="top"/>
    </xf>
    <xf numFmtId="0" fontId="24" fillId="0" borderId="0" xfId="0" applyFont="1"/>
    <xf numFmtId="49" fontId="13" fillId="0" borderId="0" xfId="0" applyNumberFormat="1" applyFont="1" applyBorder="1" applyAlignment="1">
      <alignment horizontal="center" vertical="top"/>
    </xf>
    <xf numFmtId="49" fontId="4" fillId="0" borderId="5"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0" xfId="0" applyNumberFormat="1" applyFont="1" applyAlignment="1">
      <alignment horizontal="center" vertical="top"/>
    </xf>
    <xf numFmtId="49" fontId="4" fillId="0" borderId="13" xfId="0" applyNumberFormat="1" applyFont="1" applyBorder="1" applyAlignment="1">
      <alignment horizontal="center" vertical="top"/>
    </xf>
    <xf numFmtId="0" fontId="0" fillId="0" borderId="0" xfId="0" applyProtection="1">
      <protection locked="0"/>
    </xf>
    <xf numFmtId="0" fontId="4" fillId="0" borderId="1" xfId="0" applyFont="1" applyBorder="1" applyAlignment="1" applyProtection="1">
      <alignment vertical="center"/>
    </xf>
    <xf numFmtId="0" fontId="0" fillId="2" borderId="2" xfId="0" applyFont="1" applyFill="1" applyBorder="1" applyAlignment="1" applyProtection="1">
      <alignment vertical="center"/>
    </xf>
    <xf numFmtId="2" fontId="11" fillId="9" borderId="0"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top"/>
    </xf>
    <xf numFmtId="174" fontId="11" fillId="14" borderId="0" xfId="4" applyNumberFormat="1" applyFont="1" applyFill="1" applyProtection="1">
      <protection locked="0"/>
    </xf>
    <xf numFmtId="174" fontId="11" fillId="0" borderId="0" xfId="4" applyNumberFormat="1" applyFont="1" applyBorder="1" applyAlignment="1" applyProtection="1">
      <alignment horizontal="center" vertical="center"/>
    </xf>
    <xf numFmtId="0" fontId="0" fillId="0" borderId="13" xfId="0" applyBorder="1" applyAlignment="1" applyProtection="1">
      <alignment horizontal="center" vertical="center"/>
    </xf>
    <xf numFmtId="164" fontId="3" fillId="3" borderId="0" xfId="0" applyNumberFormat="1" applyFont="1" applyFill="1" applyBorder="1" applyAlignment="1">
      <alignment vertical="center"/>
    </xf>
    <xf numFmtId="164" fontId="0" fillId="0" borderId="0" xfId="0" applyNumberFormat="1"/>
    <xf numFmtId="0" fontId="0" fillId="11" borderId="0" xfId="0" applyFill="1" applyAlignment="1">
      <alignment horizontal="left" vertical="center" wrapText="1"/>
    </xf>
    <xf numFmtId="0" fontId="0" fillId="11" borderId="0" xfId="0" applyFill="1" applyAlignment="1">
      <alignment horizontal="left"/>
    </xf>
    <xf numFmtId="0" fontId="4" fillId="3" borderId="0" xfId="0" applyFont="1" applyFill="1" applyAlignment="1">
      <alignment horizontal="center" vertical="center"/>
    </xf>
    <xf numFmtId="0" fontId="4" fillId="0" borderId="5" xfId="0" applyFont="1" applyBorder="1" applyAlignment="1">
      <alignment horizontal="center"/>
    </xf>
    <xf numFmtId="0" fontId="0" fillId="0" borderId="0" xfId="0" applyAlignment="1">
      <alignment horizontal="left" vertical="top" wrapText="1"/>
    </xf>
    <xf numFmtId="0" fontId="4" fillId="0" borderId="5" xfId="0" applyFont="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cellXfs>
  <cellStyles count="5">
    <cellStyle name="Comma" xfId="4" builtinId="3"/>
    <cellStyle name="Currency" xfId="1" builtinId="4"/>
    <cellStyle name="Hyperlink" xfId="3" builtinId="8"/>
    <cellStyle name="Normal" xfId="0" builtinId="0"/>
    <cellStyle name="Percent" xfId="2" builtinId="5"/>
  </cellStyles>
  <dxfs count="4">
    <dxf>
      <border>
        <left style="thin">
          <color rgb="FF008000"/>
        </left>
        <right style="thin">
          <color rgb="FF008000"/>
        </right>
        <top style="thin">
          <color rgb="FF008000"/>
        </top>
        <bottom style="thin">
          <color rgb="FF008000"/>
        </bottom>
      </border>
    </dxf>
    <dxf>
      <border>
        <left style="thin">
          <color rgb="FF00FF00"/>
        </left>
        <right style="thin">
          <color rgb="FF00FF00"/>
        </right>
        <top style="thin">
          <color rgb="FF00FF00"/>
        </top>
        <bottom style="thin">
          <color rgb="FF00FF00"/>
        </bottom>
      </border>
    </dxf>
    <dxf>
      <border>
        <left style="thin">
          <color rgb="FF008000"/>
        </left>
        <right style="thin">
          <color rgb="FF008000"/>
        </right>
        <top style="thin">
          <color rgb="FF008000"/>
        </top>
        <bottom style="thin">
          <color rgb="FF008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colors>
    <mruColors>
      <color rgb="FFFF6600"/>
      <color rgb="FF95CFC5"/>
      <color rgb="FF38A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hartsheet" Target="chartsheets/sheet2.xml"/><Relationship Id="rId20" Type="http://schemas.openxmlformats.org/officeDocument/2006/relationships/worksheet" Target="worksheets/sheet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1.xml"/><Relationship Id="rId23" Type="http://schemas.openxmlformats.org/officeDocument/2006/relationships/sharedStrings" Target="sharedStrings.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lang="en-AU" sz="1400" b="0" i="0" u="none" strike="noStrike" kern="1200" spc="0" baseline="0">
                <a:solidFill>
                  <a:sysClr val="windowText" lastClr="000000">
                    <a:lumMod val="65000"/>
                    <a:lumOff val="35000"/>
                  </a:sysClr>
                </a:solidFill>
                <a:latin typeface="+mn-lt"/>
                <a:ea typeface="+mn-ea"/>
                <a:cs typeface="+mn-cs"/>
              </a:defRPr>
            </a:pPr>
            <a:r>
              <a:rPr lang="en-AU" sz="1400" b="0" i="0" u="none" strike="noStrike" kern="1200" spc="0" baseline="0">
                <a:solidFill>
                  <a:sysClr val="windowText" lastClr="000000">
                    <a:lumMod val="65000"/>
                    <a:lumOff val="35000"/>
                  </a:sysClr>
                </a:solidFill>
                <a:latin typeface="+mn-lt"/>
                <a:ea typeface="+mn-ea"/>
                <a:cs typeface="+mn-cs"/>
              </a:rPr>
              <a:t>Option 2 - Life cycle costs</a:t>
            </a:r>
          </a:p>
        </c:rich>
      </c:tx>
      <c:overlay val="0"/>
      <c:spPr>
        <a:noFill/>
        <a:ln>
          <a:noFill/>
        </a:ln>
        <a:effectLst/>
      </c:spPr>
    </c:title>
    <c:autoTitleDeleted val="0"/>
    <c:plotArea>
      <c:layout>
        <c:manualLayout>
          <c:layoutTarget val="inner"/>
          <c:xMode val="edge"/>
          <c:yMode val="edge"/>
          <c:x val="0.24501280865071723"/>
          <c:y val="0.25776286160951195"/>
          <c:w val="0.55793601339400911"/>
          <c:h val="0.635681195588256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DFF-49D2-8E7E-6905BCEF2C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DFF-49D2-8E7E-6905BCEF2C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DFF-49D2-8E7E-6905BCEF2C20}"/>
              </c:ext>
            </c:extLst>
          </c:dPt>
          <c:dLbls>
            <c:spPr>
              <a:solidFill>
                <a:sysClr val="window" lastClr="FFFFFF"/>
              </a:solidFill>
              <a:ln>
                <a:solidFill>
                  <a:sysClr val="windowText" lastClr="000000">
                    <a:lumMod val="25000"/>
                    <a:lumOff val="75000"/>
                  </a:sysClr>
                </a:solidFill>
              </a:ln>
              <a:effectLst/>
            </c:spPr>
            <c:txPr>
              <a:bodyPr rot="0" vert="horz"/>
              <a:lstStyle/>
              <a:p>
                <a:pPr>
                  <a:defRPr/>
                </a:pPr>
                <a:endParaRPr lang="en-US"/>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c15:spPr>
              </c:ext>
            </c:extLst>
          </c:dLbls>
          <c:cat>
            <c:strRef>
              <c:f>Results_Summary!$E$13:$E$15</c:f>
              <c:strCache>
                <c:ptCount val="3"/>
                <c:pt idx="0">
                  <c:v>Establishment</c:v>
                </c:pt>
                <c:pt idx="1">
                  <c:v>Inspections and maintenance</c:v>
                </c:pt>
                <c:pt idx="2">
                  <c:v>Net mortality</c:v>
                </c:pt>
              </c:strCache>
            </c:strRef>
          </c:cat>
          <c:val>
            <c:numRef>
              <c:f>Results_Summary!$F$13:$F$15</c:f>
              <c:numCache>
                <c:formatCode>"$"#,##0_);[Red]\("$"#,##0\)</c:formatCode>
                <c:ptCount val="3"/>
                <c:pt idx="0">
                  <c:v>58167.357103368318</c:v>
                </c:pt>
                <c:pt idx="1">
                  <c:v>81746.488196856648</c:v>
                </c:pt>
                <c:pt idx="2">
                  <c:v>53096.734095818836</c:v>
                </c:pt>
              </c:numCache>
            </c:numRef>
          </c:val>
          <c:extLst>
            <c:ext xmlns:c16="http://schemas.microsoft.com/office/drawing/2014/chart" uri="{C3380CC4-5D6E-409C-BE32-E72D297353CC}">
              <c16:uniqueId val="{00000006-1DFF-49D2-8E7E-6905BCEF2C20}"/>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8-1DFF-49D2-8E7E-6905BCEF2C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1DFF-49D2-8E7E-6905BCEF2C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C-1DFF-49D2-8E7E-6905BCEF2C20}"/>
              </c:ext>
            </c:extLst>
          </c:dPt>
          <c:cat>
            <c:strRef>
              <c:f>Results_Summary!$E$13:$E$15</c:f>
              <c:strCache>
                <c:ptCount val="3"/>
                <c:pt idx="0">
                  <c:v>Establishment</c:v>
                </c:pt>
                <c:pt idx="1">
                  <c:v>Inspections and maintenance</c:v>
                </c:pt>
                <c:pt idx="2">
                  <c:v>Net mortality</c:v>
                </c:pt>
              </c:strCache>
            </c:strRef>
          </c:cat>
          <c:val>
            <c:numRef>
              <c:f>Results_Summary!$G$13:$G$15</c:f>
              <c:numCache>
                <c:formatCode>0.0%</c:formatCode>
                <c:ptCount val="3"/>
                <c:pt idx="0">
                  <c:v>0.30136875027981286</c:v>
                </c:pt>
                <c:pt idx="1">
                  <c:v>0.42353371744001012</c:v>
                </c:pt>
                <c:pt idx="2">
                  <c:v>0.27509753228017708</c:v>
                </c:pt>
              </c:numCache>
            </c:numRef>
          </c:val>
          <c:extLst>
            <c:ext xmlns:c16="http://schemas.microsoft.com/office/drawing/2014/chart" uri="{C3380CC4-5D6E-409C-BE32-E72D297353CC}">
              <c16:uniqueId val="{0000000D-1DFF-49D2-8E7E-6905BCEF2C20}"/>
            </c:ext>
          </c:extLst>
        </c:ser>
        <c:dLbls>
          <c:showLegendKey val="0"/>
          <c:showVal val="0"/>
          <c:showCatName val="0"/>
          <c:showSerName val="0"/>
          <c:showPercent val="0"/>
          <c:showBubbleSize val="0"/>
          <c:showLeaderLines val="0"/>
        </c:dLbls>
        <c:firstSliceAng val="0"/>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TOTAL costs PER TREE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Cumulative_Costs_2!$A$83</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Cumulative_Costs_2!$B$83:$AY$83</c:f>
              <c:numCache>
                <c:formatCode>_-"$"* #,##0.0_-;\-"$"* #,##0.0_-;_-"$"* "-"??_-;_-@_-</c:formatCode>
                <c:ptCount val="50"/>
                <c:pt idx="0">
                  <c:v>416.93446377960333</c:v>
                </c:pt>
                <c:pt idx="1">
                  <c:v>477.51196377960326</c:v>
                </c:pt>
                <c:pt idx="2">
                  <c:v>530.38466690460325</c:v>
                </c:pt>
                <c:pt idx="3">
                  <c:v>584.57918760772839</c:v>
                </c:pt>
                <c:pt idx="4">
                  <c:v>640.12857132843146</c:v>
                </c:pt>
                <c:pt idx="5">
                  <c:v>697.06668964215203</c:v>
                </c:pt>
                <c:pt idx="6">
                  <c:v>805.93290927688713</c:v>
                </c:pt>
                <c:pt idx="7">
                  <c:v>917.52078440249056</c:v>
                </c:pt>
                <c:pt idx="8">
                  <c:v>1031.8983564062344</c:v>
                </c:pt>
                <c:pt idx="9">
                  <c:v>1149.135367710071</c:v>
                </c:pt>
                <c:pt idx="10">
                  <c:v>1269.3033042965042</c:v>
                </c:pt>
                <c:pt idx="11">
                  <c:v>1392.4754392975981</c:v>
                </c:pt>
                <c:pt idx="12">
                  <c:v>1518.7268776737194</c:v>
                </c:pt>
                <c:pt idx="13">
                  <c:v>1648.1346020092435</c:v>
                </c:pt>
                <c:pt idx="14">
                  <c:v>1780.7775194531559</c:v>
                </c:pt>
                <c:pt idx="15">
                  <c:v>1916.7365098331659</c:v>
                </c:pt>
                <c:pt idx="16">
                  <c:v>2056.0944749726764</c:v>
                </c:pt>
                <c:pt idx="17">
                  <c:v>2198.9363892406741</c:v>
                </c:pt>
                <c:pt idx="18">
                  <c:v>2345.3493513653721</c:v>
                </c:pt>
                <c:pt idx="19">
                  <c:v>2495.4226375431881</c:v>
                </c:pt>
                <c:pt idx="20">
                  <c:v>2649.247755875449</c:v>
                </c:pt>
                <c:pt idx="21">
                  <c:v>2806.918502166016</c:v>
                </c:pt>
                <c:pt idx="22">
                  <c:v>2968.5310171138481</c:v>
                </c:pt>
                <c:pt idx="23">
                  <c:v>3134.183844935375</c:v>
                </c:pt>
                <c:pt idx="24">
                  <c:v>3303.9779934524404</c:v>
                </c:pt>
                <c:pt idx="25">
                  <c:v>3478.0169956824329</c:v>
                </c:pt>
                <c:pt idx="26">
                  <c:v>3656.4069729681751</c:v>
                </c:pt>
                <c:pt idx="27">
                  <c:v>3839.2566996860601</c:v>
                </c:pt>
                <c:pt idx="28">
                  <c:v>4026.6776695718922</c:v>
                </c:pt>
                <c:pt idx="29">
                  <c:v>4218.7841637048696</c:v>
                </c:pt>
                <c:pt idx="30">
                  <c:v>4415.6933201911743</c:v>
                </c:pt>
                <c:pt idx="31">
                  <c:v>4617.5252055896335</c:v>
                </c:pt>
                <c:pt idx="32">
                  <c:v>4824.4028881230552</c:v>
                </c:pt>
                <c:pt idx="33">
                  <c:v>5036.452512719814</c:v>
                </c:pt>
                <c:pt idx="34">
                  <c:v>5253.8033779314892</c:v>
                </c:pt>
                <c:pt idx="35">
                  <c:v>5476.5880147734579</c:v>
                </c:pt>
                <c:pt idx="36">
                  <c:v>5704.9422675364758</c:v>
                </c:pt>
                <c:pt idx="37">
                  <c:v>5939.0053766185683</c:v>
                </c:pt>
                <c:pt idx="38">
                  <c:v>6178.9200634277122</c:v>
                </c:pt>
                <c:pt idx="39">
                  <c:v>6424.8326174070871</c:v>
                </c:pt>
                <c:pt idx="40">
                  <c:v>6676.8929852359443</c:v>
                </c:pt>
                <c:pt idx="41">
                  <c:v>6935.2548622605245</c:v>
                </c:pt>
                <c:pt idx="42">
                  <c:v>7200.0757862107184</c:v>
                </c:pt>
                <c:pt idx="43">
                  <c:v>7471.5172332596685</c:v>
                </c:pt>
                <c:pt idx="44">
                  <c:v>7749.744716484839</c:v>
                </c:pt>
                <c:pt idx="45">
                  <c:v>8034.9278867906414</c:v>
                </c:pt>
                <c:pt idx="46">
                  <c:v>8327.2406363540886</c:v>
                </c:pt>
                <c:pt idx="47">
                  <c:v>8626.8612046566213</c:v>
                </c:pt>
                <c:pt idx="48">
                  <c:v>8933.9722871667182</c:v>
                </c:pt>
                <c:pt idx="49">
                  <c:v>9248.7611467395673</c:v>
                </c:pt>
              </c:numCache>
            </c:numRef>
          </c:val>
          <c:smooth val="0"/>
          <c:extLst>
            <c:ext xmlns:c16="http://schemas.microsoft.com/office/drawing/2014/chart" uri="{C3380CC4-5D6E-409C-BE32-E72D297353CC}">
              <c16:uniqueId val="{00000000-D014-4B27-894D-F497A02BE762}"/>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quot;$&quot;* #,##0.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costs PER TREE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Cumulative_Costs_2!$A$61</c:f>
              <c:strCache>
                <c:ptCount val="1"/>
                <c:pt idx="0">
                  <c:v> Concrete cutting ($)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Cumulative_Costs_2!$B$61:$AY$61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0-E73E-4B97-BC75-3B4010A18EB1}"/>
            </c:ext>
          </c:extLst>
        </c:ser>
        <c:ser>
          <c:idx val="1"/>
          <c:order val="1"/>
          <c:tx>
            <c:strRef>
              <c:f>Cumulative_Costs_2!$A$62</c:f>
              <c:strCache>
                <c:ptCount val="1"/>
                <c:pt idx="0">
                  <c:v> Supply ($)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Cumulative_Costs_2!$B$62:$AY$62</c:f>
              <c:numCache>
                <c:formatCode>_-"$"* #,##0.0_-;\-"$"* #,##0.0_-;_-"$"* "-"??_-;_-@_-</c:formatCode>
                <c:ptCount val="50"/>
                <c:pt idx="0">
                  <c:v>105.11544417659999</c:v>
                </c:pt>
                <c:pt idx="1">
                  <c:v>105.11544417659999</c:v>
                </c:pt>
                <c:pt idx="2">
                  <c:v>105.11544417659999</c:v>
                </c:pt>
                <c:pt idx="3">
                  <c:v>105.11544417659999</c:v>
                </c:pt>
                <c:pt idx="4">
                  <c:v>105.11544417659999</c:v>
                </c:pt>
                <c:pt idx="5">
                  <c:v>105.11544417659999</c:v>
                </c:pt>
                <c:pt idx="6">
                  <c:v>105.11544417659999</c:v>
                </c:pt>
                <c:pt idx="7">
                  <c:v>105.11544417659999</c:v>
                </c:pt>
                <c:pt idx="8">
                  <c:v>105.11544417659999</c:v>
                </c:pt>
                <c:pt idx="9">
                  <c:v>105.11544417659999</c:v>
                </c:pt>
                <c:pt idx="10">
                  <c:v>105.11544417659999</c:v>
                </c:pt>
                <c:pt idx="11">
                  <c:v>105.11544417659999</c:v>
                </c:pt>
                <c:pt idx="12">
                  <c:v>105.11544417659999</c:v>
                </c:pt>
                <c:pt idx="13">
                  <c:v>105.11544417659999</c:v>
                </c:pt>
                <c:pt idx="14">
                  <c:v>105.11544417659999</c:v>
                </c:pt>
                <c:pt idx="15">
                  <c:v>105.11544417659999</c:v>
                </c:pt>
                <c:pt idx="16">
                  <c:v>105.11544417659999</c:v>
                </c:pt>
                <c:pt idx="17">
                  <c:v>105.11544417659999</c:v>
                </c:pt>
                <c:pt idx="18">
                  <c:v>105.11544417659999</c:v>
                </c:pt>
                <c:pt idx="19">
                  <c:v>105.11544417659999</c:v>
                </c:pt>
                <c:pt idx="20">
                  <c:v>105.11544417659999</c:v>
                </c:pt>
                <c:pt idx="21">
                  <c:v>105.11544417659999</c:v>
                </c:pt>
                <c:pt idx="22">
                  <c:v>105.11544417659999</c:v>
                </c:pt>
                <c:pt idx="23">
                  <c:v>105.11544417659999</c:v>
                </c:pt>
                <c:pt idx="24">
                  <c:v>105.11544417659999</c:v>
                </c:pt>
                <c:pt idx="25">
                  <c:v>105.11544417659999</c:v>
                </c:pt>
                <c:pt idx="26">
                  <c:v>105.11544417659999</c:v>
                </c:pt>
                <c:pt idx="27">
                  <c:v>105.11544417659999</c:v>
                </c:pt>
                <c:pt idx="28">
                  <c:v>105.11544417659999</c:v>
                </c:pt>
                <c:pt idx="29">
                  <c:v>105.11544417659999</c:v>
                </c:pt>
                <c:pt idx="30">
                  <c:v>105.11544417659999</c:v>
                </c:pt>
                <c:pt idx="31">
                  <c:v>105.11544417659999</c:v>
                </c:pt>
                <c:pt idx="32">
                  <c:v>105.11544417659999</c:v>
                </c:pt>
                <c:pt idx="33">
                  <c:v>105.11544417659999</c:v>
                </c:pt>
                <c:pt idx="34">
                  <c:v>105.11544417659999</c:v>
                </c:pt>
                <c:pt idx="35">
                  <c:v>105.11544417659999</c:v>
                </c:pt>
                <c:pt idx="36">
                  <c:v>105.11544417659999</c:v>
                </c:pt>
                <c:pt idx="37">
                  <c:v>105.11544417659999</c:v>
                </c:pt>
                <c:pt idx="38">
                  <c:v>105.11544417659999</c:v>
                </c:pt>
                <c:pt idx="39">
                  <c:v>105.11544417659999</c:v>
                </c:pt>
                <c:pt idx="40">
                  <c:v>105.11544417659999</c:v>
                </c:pt>
                <c:pt idx="41">
                  <c:v>105.11544417659999</c:v>
                </c:pt>
                <c:pt idx="42">
                  <c:v>105.11544417659999</c:v>
                </c:pt>
                <c:pt idx="43">
                  <c:v>105.11544417659999</c:v>
                </c:pt>
                <c:pt idx="44">
                  <c:v>105.11544417659999</c:v>
                </c:pt>
                <c:pt idx="45">
                  <c:v>105.11544417659999</c:v>
                </c:pt>
                <c:pt idx="46">
                  <c:v>105.11544417659999</c:v>
                </c:pt>
                <c:pt idx="47">
                  <c:v>105.11544417659999</c:v>
                </c:pt>
                <c:pt idx="48">
                  <c:v>105.11544417659999</c:v>
                </c:pt>
                <c:pt idx="49">
                  <c:v>105.11544417659999</c:v>
                </c:pt>
              </c:numCache>
            </c:numRef>
          </c:val>
          <c:smooth val="0"/>
          <c:extLst>
            <c:ext xmlns:c16="http://schemas.microsoft.com/office/drawing/2014/chart" uri="{C3380CC4-5D6E-409C-BE32-E72D297353CC}">
              <c16:uniqueId val="{00000001-E73E-4B97-BC75-3B4010A18EB1}"/>
            </c:ext>
          </c:extLst>
        </c:ser>
        <c:ser>
          <c:idx val="2"/>
          <c:order val="2"/>
          <c:tx>
            <c:strRef>
              <c:f>Cumulative_Costs_2!$A$63</c:f>
              <c:strCache>
                <c:ptCount val="1"/>
                <c:pt idx="0">
                  <c:v> Tree installation ($) </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Cumulative_Costs_2!$B$63:$AY$63</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2-E73E-4B97-BC75-3B4010A18EB1}"/>
            </c:ext>
          </c:extLst>
        </c:ser>
        <c:ser>
          <c:idx val="3"/>
          <c:order val="3"/>
          <c:tx>
            <c:strRef>
              <c:f>Cumulative_Costs_2!$A$64</c:f>
              <c:strCache>
                <c:ptCount val="1"/>
                <c:pt idx="0">
                  <c:v> Unbundled installation </c:v>
                </c:pt>
              </c:strCache>
            </c:strRef>
          </c:tx>
          <c:spPr>
            <a:ln w="22225" cap="rnd">
              <a:solidFill>
                <a:schemeClr val="accent4"/>
              </a:solidFill>
              <a:round/>
            </a:ln>
            <a:effectLst/>
          </c:spPr>
          <c:marker>
            <c:symbol val="x"/>
            <c:size val="6"/>
            <c:spPr>
              <a:noFill/>
              <a:ln w="9525">
                <a:solidFill>
                  <a:schemeClr val="accent4"/>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Cumulative_Costs_2!$B$64:$AY$64</c:f>
              <c:numCache>
                <c:formatCode>_-"$"* #,##0.0_-;\-"$"* #,##0.0_-;_-"$"* "-"??_-;_-@_-</c:formatCode>
                <c:ptCount val="50"/>
                <c:pt idx="0">
                  <c:v>24.333333333333336</c:v>
                </c:pt>
                <c:pt idx="1">
                  <c:v>24.333333333333336</c:v>
                </c:pt>
                <c:pt idx="2">
                  <c:v>24.333333333333336</c:v>
                </c:pt>
                <c:pt idx="3">
                  <c:v>24.333333333333336</c:v>
                </c:pt>
                <c:pt idx="4">
                  <c:v>24.333333333333336</c:v>
                </c:pt>
                <c:pt idx="5">
                  <c:v>24.333333333333336</c:v>
                </c:pt>
                <c:pt idx="6">
                  <c:v>24.333333333333336</c:v>
                </c:pt>
                <c:pt idx="7">
                  <c:v>24.333333333333336</c:v>
                </c:pt>
                <c:pt idx="8">
                  <c:v>24.333333333333336</c:v>
                </c:pt>
                <c:pt idx="9">
                  <c:v>24.333333333333336</c:v>
                </c:pt>
                <c:pt idx="10">
                  <c:v>24.333333333333336</c:v>
                </c:pt>
                <c:pt idx="11">
                  <c:v>24.333333333333336</c:v>
                </c:pt>
                <c:pt idx="12">
                  <c:v>24.333333333333336</c:v>
                </c:pt>
                <c:pt idx="13">
                  <c:v>24.333333333333336</c:v>
                </c:pt>
                <c:pt idx="14">
                  <c:v>24.333333333333336</c:v>
                </c:pt>
                <c:pt idx="15">
                  <c:v>24.333333333333336</c:v>
                </c:pt>
                <c:pt idx="16">
                  <c:v>24.333333333333336</c:v>
                </c:pt>
                <c:pt idx="17">
                  <c:v>24.333333333333336</c:v>
                </c:pt>
                <c:pt idx="18">
                  <c:v>24.333333333333336</c:v>
                </c:pt>
                <c:pt idx="19">
                  <c:v>24.333333333333336</c:v>
                </c:pt>
                <c:pt idx="20">
                  <c:v>24.333333333333336</c:v>
                </c:pt>
                <c:pt idx="21">
                  <c:v>24.333333333333336</c:v>
                </c:pt>
                <c:pt idx="22">
                  <c:v>24.333333333333336</c:v>
                </c:pt>
                <c:pt idx="23">
                  <c:v>24.333333333333336</c:v>
                </c:pt>
                <c:pt idx="24">
                  <c:v>24.333333333333336</c:v>
                </c:pt>
                <c:pt idx="25">
                  <c:v>24.333333333333336</c:v>
                </c:pt>
                <c:pt idx="26">
                  <c:v>24.333333333333336</c:v>
                </c:pt>
                <c:pt idx="27">
                  <c:v>24.333333333333336</c:v>
                </c:pt>
                <c:pt idx="28">
                  <c:v>24.333333333333336</c:v>
                </c:pt>
                <c:pt idx="29">
                  <c:v>24.333333333333336</c:v>
                </c:pt>
                <c:pt idx="30">
                  <c:v>24.333333333333336</c:v>
                </c:pt>
                <c:pt idx="31">
                  <c:v>24.333333333333336</c:v>
                </c:pt>
                <c:pt idx="32">
                  <c:v>24.333333333333336</c:v>
                </c:pt>
                <c:pt idx="33">
                  <c:v>24.333333333333336</c:v>
                </c:pt>
                <c:pt idx="34">
                  <c:v>24.333333333333336</c:v>
                </c:pt>
                <c:pt idx="35">
                  <c:v>24.333333333333336</c:v>
                </c:pt>
                <c:pt idx="36">
                  <c:v>24.333333333333336</c:v>
                </c:pt>
                <c:pt idx="37">
                  <c:v>24.333333333333336</c:v>
                </c:pt>
                <c:pt idx="38">
                  <c:v>24.333333333333336</c:v>
                </c:pt>
                <c:pt idx="39">
                  <c:v>24.333333333333336</c:v>
                </c:pt>
                <c:pt idx="40">
                  <c:v>24.333333333333336</c:v>
                </c:pt>
                <c:pt idx="41">
                  <c:v>24.333333333333336</c:v>
                </c:pt>
                <c:pt idx="42">
                  <c:v>24.333333333333336</c:v>
                </c:pt>
                <c:pt idx="43">
                  <c:v>24.333333333333336</c:v>
                </c:pt>
                <c:pt idx="44">
                  <c:v>24.333333333333336</c:v>
                </c:pt>
                <c:pt idx="45">
                  <c:v>24.333333333333336</c:v>
                </c:pt>
                <c:pt idx="46">
                  <c:v>24.333333333333336</c:v>
                </c:pt>
                <c:pt idx="47">
                  <c:v>24.333333333333336</c:v>
                </c:pt>
                <c:pt idx="48">
                  <c:v>24.333333333333336</c:v>
                </c:pt>
                <c:pt idx="49">
                  <c:v>24.333333333333336</c:v>
                </c:pt>
              </c:numCache>
            </c:numRef>
          </c:val>
          <c:smooth val="0"/>
          <c:extLst>
            <c:ext xmlns:c16="http://schemas.microsoft.com/office/drawing/2014/chart" uri="{C3380CC4-5D6E-409C-BE32-E72D297353CC}">
              <c16:uniqueId val="{00000003-E73E-4B97-BC75-3B4010A18EB1}"/>
            </c:ext>
          </c:extLst>
        </c:ser>
        <c:ser>
          <c:idx val="4"/>
          <c:order val="4"/>
          <c:tx>
            <c:strRef>
              <c:f>Cumulative_Costs_2!$A$65</c:f>
              <c:strCache>
                <c:ptCount val="1"/>
                <c:pt idx="0">
                  <c:v> Mulch cost ($/m3) </c:v>
                </c:pt>
              </c:strCache>
            </c:strRef>
          </c:tx>
          <c:spPr>
            <a:ln w="22225" cap="rnd">
              <a:solidFill>
                <a:schemeClr val="accent5"/>
              </a:solidFill>
              <a:round/>
            </a:ln>
            <a:effectLst/>
          </c:spPr>
          <c:marker>
            <c:symbol val="star"/>
            <c:size val="6"/>
            <c:spPr>
              <a:noFill/>
              <a:ln w="9525">
                <a:solidFill>
                  <a:schemeClr val="accent5"/>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Cumulative_Costs_2!$B$65:$AY$65</c:f>
              <c:numCache>
                <c:formatCode>_-"$"* #,##0.0_-;\-"$"* #,##0.0_-;_-"$"* "-"??_-;_-@_-</c:formatCode>
                <c:ptCount val="50"/>
                <c:pt idx="0">
                  <c:v>5.4946862696699998</c:v>
                </c:pt>
                <c:pt idx="1">
                  <c:v>5.4946862696699998</c:v>
                </c:pt>
                <c:pt idx="2">
                  <c:v>5.4946862696699998</c:v>
                </c:pt>
                <c:pt idx="3">
                  <c:v>5.4946862696699998</c:v>
                </c:pt>
                <c:pt idx="4">
                  <c:v>5.4946862696699998</c:v>
                </c:pt>
                <c:pt idx="5">
                  <c:v>5.4946862696699998</c:v>
                </c:pt>
                <c:pt idx="6">
                  <c:v>5.4946862696699998</c:v>
                </c:pt>
                <c:pt idx="7">
                  <c:v>5.4946862696699998</c:v>
                </c:pt>
                <c:pt idx="8">
                  <c:v>5.4946862696699998</c:v>
                </c:pt>
                <c:pt idx="9">
                  <c:v>5.4946862696699998</c:v>
                </c:pt>
                <c:pt idx="10">
                  <c:v>5.4946862696699998</c:v>
                </c:pt>
                <c:pt idx="11">
                  <c:v>5.4946862696699998</c:v>
                </c:pt>
                <c:pt idx="12">
                  <c:v>5.4946862696699998</c:v>
                </c:pt>
                <c:pt idx="13">
                  <c:v>5.4946862696699998</c:v>
                </c:pt>
                <c:pt idx="14">
                  <c:v>5.4946862696699998</c:v>
                </c:pt>
                <c:pt idx="15">
                  <c:v>5.4946862696699998</c:v>
                </c:pt>
                <c:pt idx="16">
                  <c:v>5.4946862696699998</c:v>
                </c:pt>
                <c:pt idx="17">
                  <c:v>5.4946862696699998</c:v>
                </c:pt>
                <c:pt idx="18">
                  <c:v>5.4946862696699998</c:v>
                </c:pt>
                <c:pt idx="19">
                  <c:v>5.4946862696699998</c:v>
                </c:pt>
                <c:pt idx="20">
                  <c:v>5.4946862696699998</c:v>
                </c:pt>
                <c:pt idx="21">
                  <c:v>5.4946862696699998</c:v>
                </c:pt>
                <c:pt idx="22">
                  <c:v>5.4946862696699998</c:v>
                </c:pt>
                <c:pt idx="23">
                  <c:v>5.4946862696699998</c:v>
                </c:pt>
                <c:pt idx="24">
                  <c:v>5.4946862696699998</c:v>
                </c:pt>
                <c:pt idx="25">
                  <c:v>5.4946862696699998</c:v>
                </c:pt>
                <c:pt idx="26">
                  <c:v>5.4946862696699998</c:v>
                </c:pt>
                <c:pt idx="27">
                  <c:v>5.4946862696699998</c:v>
                </c:pt>
                <c:pt idx="28">
                  <c:v>5.4946862696699998</c:v>
                </c:pt>
                <c:pt idx="29">
                  <c:v>5.4946862696699998</c:v>
                </c:pt>
                <c:pt idx="30">
                  <c:v>5.4946862696699998</c:v>
                </c:pt>
                <c:pt idx="31">
                  <c:v>5.4946862696699998</c:v>
                </c:pt>
                <c:pt idx="32">
                  <c:v>5.4946862696699998</c:v>
                </c:pt>
                <c:pt idx="33">
                  <c:v>5.4946862696699998</c:v>
                </c:pt>
                <c:pt idx="34">
                  <c:v>5.4946862696699998</c:v>
                </c:pt>
                <c:pt idx="35">
                  <c:v>5.4946862696699998</c:v>
                </c:pt>
                <c:pt idx="36">
                  <c:v>5.4946862696699998</c:v>
                </c:pt>
                <c:pt idx="37">
                  <c:v>5.4946862696699998</c:v>
                </c:pt>
                <c:pt idx="38">
                  <c:v>5.4946862696699998</c:v>
                </c:pt>
                <c:pt idx="39">
                  <c:v>5.4946862696699998</c:v>
                </c:pt>
                <c:pt idx="40">
                  <c:v>5.4946862696699998</c:v>
                </c:pt>
                <c:pt idx="41">
                  <c:v>5.4946862696699998</c:v>
                </c:pt>
                <c:pt idx="42">
                  <c:v>5.4946862696699998</c:v>
                </c:pt>
                <c:pt idx="43">
                  <c:v>5.4946862696699998</c:v>
                </c:pt>
                <c:pt idx="44">
                  <c:v>5.4946862696699998</c:v>
                </c:pt>
                <c:pt idx="45">
                  <c:v>5.4946862696699998</c:v>
                </c:pt>
                <c:pt idx="46">
                  <c:v>5.4946862696699998</c:v>
                </c:pt>
                <c:pt idx="47">
                  <c:v>5.4946862696699998</c:v>
                </c:pt>
                <c:pt idx="48">
                  <c:v>5.4946862696699998</c:v>
                </c:pt>
                <c:pt idx="49">
                  <c:v>5.4946862696699998</c:v>
                </c:pt>
              </c:numCache>
            </c:numRef>
          </c:val>
          <c:smooth val="0"/>
          <c:extLst>
            <c:ext xmlns:c16="http://schemas.microsoft.com/office/drawing/2014/chart" uri="{C3380CC4-5D6E-409C-BE32-E72D297353CC}">
              <c16:uniqueId val="{00000004-E73E-4B97-BC75-3B4010A18EB1}"/>
            </c:ext>
          </c:extLst>
        </c:ser>
        <c:ser>
          <c:idx val="5"/>
          <c:order val="5"/>
          <c:tx>
            <c:strRef>
              <c:f>Cumulative_Costs_2!$A$66</c:f>
              <c:strCache>
                <c:ptCount val="1"/>
                <c:pt idx="0">
                  <c:v> Stakes and ties ($) </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Cumulative_Costs_2!$B$66:$AY$66</c:f>
              <c:numCache>
                <c:formatCode>_-"$"* #,##0.0_-;\-"$"* #,##0.0_-;_-"$"* "-"??_-;_-@_-</c:formatCode>
                <c:ptCount val="50"/>
                <c:pt idx="0">
                  <c:v>70.199999999999989</c:v>
                </c:pt>
                <c:pt idx="1">
                  <c:v>70.199999999999989</c:v>
                </c:pt>
                <c:pt idx="2">
                  <c:v>70.199999999999989</c:v>
                </c:pt>
                <c:pt idx="3">
                  <c:v>70.199999999999989</c:v>
                </c:pt>
                <c:pt idx="4">
                  <c:v>70.199999999999989</c:v>
                </c:pt>
                <c:pt idx="5">
                  <c:v>70.199999999999989</c:v>
                </c:pt>
                <c:pt idx="6">
                  <c:v>70.199999999999989</c:v>
                </c:pt>
                <c:pt idx="7">
                  <c:v>70.199999999999989</c:v>
                </c:pt>
                <c:pt idx="8">
                  <c:v>70.199999999999989</c:v>
                </c:pt>
                <c:pt idx="9">
                  <c:v>70.199999999999989</c:v>
                </c:pt>
                <c:pt idx="10">
                  <c:v>70.199999999999989</c:v>
                </c:pt>
                <c:pt idx="11">
                  <c:v>70.199999999999989</c:v>
                </c:pt>
                <c:pt idx="12">
                  <c:v>70.199999999999989</c:v>
                </c:pt>
                <c:pt idx="13">
                  <c:v>70.199999999999989</c:v>
                </c:pt>
                <c:pt idx="14">
                  <c:v>70.199999999999989</c:v>
                </c:pt>
                <c:pt idx="15">
                  <c:v>70.199999999999989</c:v>
                </c:pt>
                <c:pt idx="16">
                  <c:v>70.199999999999989</c:v>
                </c:pt>
                <c:pt idx="17">
                  <c:v>70.199999999999989</c:v>
                </c:pt>
                <c:pt idx="18">
                  <c:v>70.199999999999989</c:v>
                </c:pt>
                <c:pt idx="19">
                  <c:v>70.199999999999989</c:v>
                </c:pt>
                <c:pt idx="20">
                  <c:v>70.199999999999989</c:v>
                </c:pt>
                <c:pt idx="21">
                  <c:v>70.199999999999989</c:v>
                </c:pt>
                <c:pt idx="22">
                  <c:v>70.199999999999989</c:v>
                </c:pt>
                <c:pt idx="23">
                  <c:v>70.199999999999989</c:v>
                </c:pt>
                <c:pt idx="24">
                  <c:v>70.199999999999989</c:v>
                </c:pt>
                <c:pt idx="25">
                  <c:v>70.199999999999989</c:v>
                </c:pt>
                <c:pt idx="26">
                  <c:v>70.199999999999989</c:v>
                </c:pt>
                <c:pt idx="27">
                  <c:v>70.199999999999989</c:v>
                </c:pt>
                <c:pt idx="28">
                  <c:v>70.199999999999989</c:v>
                </c:pt>
                <c:pt idx="29">
                  <c:v>70.199999999999989</c:v>
                </c:pt>
                <c:pt idx="30">
                  <c:v>70.199999999999989</c:v>
                </c:pt>
                <c:pt idx="31">
                  <c:v>70.199999999999989</c:v>
                </c:pt>
                <c:pt idx="32">
                  <c:v>70.199999999999989</c:v>
                </c:pt>
                <c:pt idx="33">
                  <c:v>70.199999999999989</c:v>
                </c:pt>
                <c:pt idx="34">
                  <c:v>70.199999999999989</c:v>
                </c:pt>
                <c:pt idx="35">
                  <c:v>70.199999999999989</c:v>
                </c:pt>
                <c:pt idx="36">
                  <c:v>70.199999999999989</c:v>
                </c:pt>
                <c:pt idx="37">
                  <c:v>70.199999999999989</c:v>
                </c:pt>
                <c:pt idx="38">
                  <c:v>70.199999999999989</c:v>
                </c:pt>
                <c:pt idx="39">
                  <c:v>70.199999999999989</c:v>
                </c:pt>
                <c:pt idx="40">
                  <c:v>70.199999999999989</c:v>
                </c:pt>
                <c:pt idx="41">
                  <c:v>70.199999999999989</c:v>
                </c:pt>
                <c:pt idx="42">
                  <c:v>70.199999999999989</c:v>
                </c:pt>
                <c:pt idx="43">
                  <c:v>70.199999999999989</c:v>
                </c:pt>
                <c:pt idx="44">
                  <c:v>70.199999999999989</c:v>
                </c:pt>
                <c:pt idx="45">
                  <c:v>70.199999999999989</c:v>
                </c:pt>
                <c:pt idx="46">
                  <c:v>70.199999999999989</c:v>
                </c:pt>
                <c:pt idx="47">
                  <c:v>70.199999999999989</c:v>
                </c:pt>
                <c:pt idx="48">
                  <c:v>70.199999999999989</c:v>
                </c:pt>
                <c:pt idx="49">
                  <c:v>70.199999999999989</c:v>
                </c:pt>
              </c:numCache>
            </c:numRef>
          </c:val>
          <c:smooth val="0"/>
          <c:extLst>
            <c:ext xmlns:c16="http://schemas.microsoft.com/office/drawing/2014/chart" uri="{C3380CC4-5D6E-409C-BE32-E72D297353CC}">
              <c16:uniqueId val="{00000005-E73E-4B97-BC75-3B4010A18EB1}"/>
            </c:ext>
          </c:extLst>
        </c:ser>
        <c:ser>
          <c:idx val="6"/>
          <c:order val="6"/>
          <c:tx>
            <c:strRef>
              <c:f>Cumulative_Costs_2!$A$67</c:f>
              <c:strCache>
                <c:ptCount val="1"/>
                <c:pt idx="0">
                  <c:v> Tree removal </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Cumulative_Costs_2!$B$67:$AY$67</c:f>
              <c:numCache>
                <c:formatCode>_-"$"* #,##0.0_-;\-"$"* #,##0.0_-;_-"$"* "-"??_-;_-@_-</c:formatCode>
                <c:ptCount val="50"/>
                <c:pt idx="0">
                  <c:v>0</c:v>
                </c:pt>
                <c:pt idx="1">
                  <c:v>0</c:v>
                </c:pt>
                <c:pt idx="2">
                  <c:v>0</c:v>
                </c:pt>
                <c:pt idx="3">
                  <c:v>0</c:v>
                </c:pt>
                <c:pt idx="4">
                  <c:v>0</c:v>
                </c:pt>
                <c:pt idx="5">
                  <c:v>0</c:v>
                </c:pt>
                <c:pt idx="6">
                  <c:v>50.504648363171363</c:v>
                </c:pt>
                <c:pt idx="7">
                  <c:v>102.27191293542201</c:v>
                </c:pt>
                <c:pt idx="8">
                  <c:v>155.33335912197893</c:v>
                </c:pt>
                <c:pt idx="9">
                  <c:v>209.72134146319976</c:v>
                </c:pt>
                <c:pt idx="10">
                  <c:v>265.46902336295113</c:v>
                </c:pt>
                <c:pt idx="11">
                  <c:v>322.61039731019628</c:v>
                </c:pt>
                <c:pt idx="12">
                  <c:v>381.18030560612254</c:v>
                </c:pt>
                <c:pt idx="13">
                  <c:v>441.21446160944697</c:v>
                </c:pt>
                <c:pt idx="14">
                  <c:v>502.74947151285448</c:v>
                </c:pt>
                <c:pt idx="15">
                  <c:v>565.82285666384723</c:v>
                </c:pt>
                <c:pt idx="16">
                  <c:v>630.47307644361467</c:v>
                </c:pt>
                <c:pt idx="17">
                  <c:v>696.73955171787645</c:v>
                </c:pt>
                <c:pt idx="18">
                  <c:v>764.66268887399463</c:v>
                </c:pt>
                <c:pt idx="19">
                  <c:v>834.28390445901596</c:v>
                </c:pt>
                <c:pt idx="20">
                  <c:v>905.64565043366269</c:v>
                </c:pt>
                <c:pt idx="21">
                  <c:v>978.79144005767546</c:v>
                </c:pt>
                <c:pt idx="22">
                  <c:v>1053.7658744222888</c:v>
                </c:pt>
                <c:pt idx="23">
                  <c:v>1130.6146696460173</c:v>
                </c:pt>
                <c:pt idx="24">
                  <c:v>1209.3846847503391</c:v>
                </c:pt>
                <c:pt idx="25">
                  <c:v>1290.1239502322687</c:v>
                </c:pt>
                <c:pt idx="26">
                  <c:v>1372.8816973512469</c:v>
                </c:pt>
                <c:pt idx="27">
                  <c:v>1457.7083881481992</c:v>
                </c:pt>
                <c:pt idx="28">
                  <c:v>1544.6557462150754</c:v>
                </c:pt>
                <c:pt idx="29">
                  <c:v>1633.7767882336236</c:v>
                </c:pt>
                <c:pt idx="30">
                  <c:v>1725.1258563026356</c:v>
                </c:pt>
                <c:pt idx="31">
                  <c:v>1818.7586510733727</c:v>
                </c:pt>
                <c:pt idx="32">
                  <c:v>1914.7322657133784</c:v>
                </c:pt>
                <c:pt idx="33">
                  <c:v>2013.1052207193841</c:v>
                </c:pt>
                <c:pt idx="34">
                  <c:v>2113.9374996005399</c:v>
                </c:pt>
                <c:pt idx="35">
                  <c:v>2217.2905854537248</c:v>
                </c:pt>
                <c:pt idx="36">
                  <c:v>2323.2274984532391</c:v>
                </c:pt>
                <c:pt idx="37">
                  <c:v>2431.8128342777413</c:v>
                </c:pt>
                <c:pt idx="38">
                  <c:v>2543.112803497856</c:v>
                </c:pt>
                <c:pt idx="39">
                  <c:v>2657.1952719484734</c:v>
                </c:pt>
                <c:pt idx="40">
                  <c:v>2774.1298021103562</c:v>
                </c:pt>
                <c:pt idx="41">
                  <c:v>2893.9876955262862</c:v>
                </c:pt>
                <c:pt idx="42">
                  <c:v>3016.8420362776146</c:v>
                </c:pt>
                <c:pt idx="43">
                  <c:v>3142.7677355477263</c:v>
                </c:pt>
                <c:pt idx="44">
                  <c:v>3271.8415772995904</c:v>
                </c:pt>
                <c:pt idx="45">
                  <c:v>3404.1422650952513</c:v>
                </c:pt>
                <c:pt idx="46">
                  <c:v>3539.750470085804</c:v>
                </c:pt>
                <c:pt idx="47">
                  <c:v>3678.7488802011208</c:v>
                </c:pt>
                <c:pt idx="48">
                  <c:v>3821.2222505693194</c:v>
                </c:pt>
                <c:pt idx="49">
                  <c:v>3967.2574551967241</c:v>
                </c:pt>
              </c:numCache>
            </c:numRef>
          </c:val>
          <c:smooth val="0"/>
          <c:extLst>
            <c:ext xmlns:c16="http://schemas.microsoft.com/office/drawing/2014/chart" uri="{C3380CC4-5D6E-409C-BE32-E72D297353CC}">
              <c16:uniqueId val="{00000006-E73E-4B97-BC75-3B4010A18EB1}"/>
            </c:ext>
          </c:extLst>
        </c:ser>
        <c:ser>
          <c:idx val="7"/>
          <c:order val="7"/>
          <c:tx>
            <c:strRef>
              <c:f>Cumulative_Costs_2!$A$68</c:f>
              <c:strCache>
                <c:ptCount val="1"/>
                <c:pt idx="0">
                  <c:v> Soil cost ($/m3) </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Cumulative_Costs_2!$B$68:$AY$68</c:f>
              <c:numCache>
                <c:formatCode>_-"$"* #,##0.0_-;\-"$"* #,##0.0_-;_-"$"* "-"??_-;_-@_-</c:formatCode>
                <c:ptCount val="50"/>
                <c:pt idx="0">
                  <c:v>17.901</c:v>
                </c:pt>
                <c:pt idx="1">
                  <c:v>17.901</c:v>
                </c:pt>
                <c:pt idx="2">
                  <c:v>17.901</c:v>
                </c:pt>
                <c:pt idx="3">
                  <c:v>17.901</c:v>
                </c:pt>
                <c:pt idx="4">
                  <c:v>17.901</c:v>
                </c:pt>
                <c:pt idx="5">
                  <c:v>17.901</c:v>
                </c:pt>
                <c:pt idx="6">
                  <c:v>17.901</c:v>
                </c:pt>
                <c:pt idx="7">
                  <c:v>17.901</c:v>
                </c:pt>
                <c:pt idx="8">
                  <c:v>17.901</c:v>
                </c:pt>
                <c:pt idx="9">
                  <c:v>17.901</c:v>
                </c:pt>
                <c:pt idx="10">
                  <c:v>17.901</c:v>
                </c:pt>
                <c:pt idx="11">
                  <c:v>17.901</c:v>
                </c:pt>
                <c:pt idx="12">
                  <c:v>17.901</c:v>
                </c:pt>
                <c:pt idx="13">
                  <c:v>17.901</c:v>
                </c:pt>
                <c:pt idx="14">
                  <c:v>17.901</c:v>
                </c:pt>
                <c:pt idx="15">
                  <c:v>17.901</c:v>
                </c:pt>
                <c:pt idx="16">
                  <c:v>17.901</c:v>
                </c:pt>
                <c:pt idx="17">
                  <c:v>17.901</c:v>
                </c:pt>
                <c:pt idx="18">
                  <c:v>17.901</c:v>
                </c:pt>
                <c:pt idx="19">
                  <c:v>17.901</c:v>
                </c:pt>
                <c:pt idx="20">
                  <c:v>17.901</c:v>
                </c:pt>
                <c:pt idx="21">
                  <c:v>17.901</c:v>
                </c:pt>
                <c:pt idx="22">
                  <c:v>17.901</c:v>
                </c:pt>
                <c:pt idx="23">
                  <c:v>17.901</c:v>
                </c:pt>
                <c:pt idx="24">
                  <c:v>17.901</c:v>
                </c:pt>
                <c:pt idx="25">
                  <c:v>17.901</c:v>
                </c:pt>
                <c:pt idx="26">
                  <c:v>17.901</c:v>
                </c:pt>
                <c:pt idx="27">
                  <c:v>17.901</c:v>
                </c:pt>
                <c:pt idx="28">
                  <c:v>17.901</c:v>
                </c:pt>
                <c:pt idx="29">
                  <c:v>17.901</c:v>
                </c:pt>
                <c:pt idx="30">
                  <c:v>17.901</c:v>
                </c:pt>
                <c:pt idx="31">
                  <c:v>17.901</c:v>
                </c:pt>
                <c:pt idx="32">
                  <c:v>17.901</c:v>
                </c:pt>
                <c:pt idx="33">
                  <c:v>17.901</c:v>
                </c:pt>
                <c:pt idx="34">
                  <c:v>17.901</c:v>
                </c:pt>
                <c:pt idx="35">
                  <c:v>17.901</c:v>
                </c:pt>
                <c:pt idx="36">
                  <c:v>17.901</c:v>
                </c:pt>
                <c:pt idx="37">
                  <c:v>17.901</c:v>
                </c:pt>
                <c:pt idx="38">
                  <c:v>17.901</c:v>
                </c:pt>
                <c:pt idx="39">
                  <c:v>17.901</c:v>
                </c:pt>
                <c:pt idx="40">
                  <c:v>17.901</c:v>
                </c:pt>
                <c:pt idx="41">
                  <c:v>17.901</c:v>
                </c:pt>
                <c:pt idx="42">
                  <c:v>17.901</c:v>
                </c:pt>
                <c:pt idx="43">
                  <c:v>17.901</c:v>
                </c:pt>
                <c:pt idx="44">
                  <c:v>17.901</c:v>
                </c:pt>
                <c:pt idx="45">
                  <c:v>17.901</c:v>
                </c:pt>
                <c:pt idx="46">
                  <c:v>17.901</c:v>
                </c:pt>
                <c:pt idx="47">
                  <c:v>17.901</c:v>
                </c:pt>
                <c:pt idx="48">
                  <c:v>17.901</c:v>
                </c:pt>
                <c:pt idx="49">
                  <c:v>17.901</c:v>
                </c:pt>
              </c:numCache>
            </c:numRef>
          </c:val>
          <c:smooth val="0"/>
          <c:extLst>
            <c:ext xmlns:c16="http://schemas.microsoft.com/office/drawing/2014/chart" uri="{C3380CC4-5D6E-409C-BE32-E72D297353CC}">
              <c16:uniqueId val="{00000007-E73E-4B97-BC75-3B4010A18EB1}"/>
            </c:ext>
          </c:extLst>
        </c:ser>
        <c:ser>
          <c:idx val="8"/>
          <c:order val="8"/>
          <c:tx>
            <c:strRef>
              <c:f>Cumulative_Costs_2!$A$69</c:f>
              <c:strCache>
                <c:ptCount val="1"/>
                <c:pt idx="0">
                  <c:v> Tree protection fencing ($) </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Cumulative_Costs_2!$B$69:$AY$69</c:f>
              <c:numCache>
                <c:formatCode>_-"$"* #,##0.0_-;\-"$"* #,##0.0_-;_-"$"* "-"??_-;_-@_-</c:formatCode>
                <c:ptCount val="5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numCache>
            </c:numRef>
          </c:val>
          <c:smooth val="0"/>
          <c:extLst>
            <c:ext xmlns:c16="http://schemas.microsoft.com/office/drawing/2014/chart" uri="{C3380CC4-5D6E-409C-BE32-E72D297353CC}">
              <c16:uniqueId val="{00000008-E73E-4B97-BC75-3B4010A18EB1}"/>
            </c:ext>
          </c:extLst>
        </c:ser>
        <c:ser>
          <c:idx val="9"/>
          <c:order val="9"/>
          <c:tx>
            <c:strRef>
              <c:f>Cumulative_Costs_2!$A$70</c:f>
              <c:strCache>
                <c:ptCount val="1"/>
                <c:pt idx="0">
                  <c:v> Traffic control cost ($) </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Cumulative_Costs_2!$B$70:$AY$70</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9-E73E-4B97-BC75-3B4010A18EB1}"/>
            </c:ext>
          </c:extLst>
        </c:ser>
        <c:ser>
          <c:idx val="10"/>
          <c:order val="10"/>
          <c:tx>
            <c:strRef>
              <c:f>Cumulative_Costs_2!$A$71</c:f>
              <c:strCache>
                <c:ptCount val="1"/>
                <c:pt idx="0">
                  <c:v> Guard rails </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Cumulative_Costs_2!$B$71:$AY$71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A-E73E-4B97-BC75-3B4010A18EB1}"/>
            </c:ext>
          </c:extLst>
        </c:ser>
        <c:ser>
          <c:idx val="11"/>
          <c:order val="11"/>
          <c:tx>
            <c:strRef>
              <c:f>Cumulative_Costs_2!$A$72</c:f>
              <c:strCache>
                <c:ptCount val="1"/>
                <c:pt idx="0">
                  <c:v> StrataVault or Strata cells ($) </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Cumulative_Costs_2!$B$72:$AY$72</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B-E73E-4B97-BC75-3B4010A18EB1}"/>
            </c:ext>
          </c:extLst>
        </c:ser>
        <c:ser>
          <c:idx val="12"/>
          <c:order val="12"/>
          <c:tx>
            <c:strRef>
              <c:f>Cumulative_Costs_2!$A$73</c:f>
              <c:strCache>
                <c:ptCount val="1"/>
                <c:pt idx="0">
                  <c:v> Watering costs </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Cumulative_Costs_2!$B$73:$AY$73</c:f>
              <c:numCache>
                <c:formatCode>_-"$"* #,##0.0_-;\-"$"* #,##0.0_-;_-"$"* "-"??_-;_-@_-</c:formatCode>
                <c:ptCount val="50"/>
                <c:pt idx="0">
                  <c:v>48</c:v>
                </c:pt>
                <c:pt idx="1">
                  <c:v>64.400000000000006</c:v>
                </c:pt>
                <c:pt idx="2">
                  <c:v>81.209999999999994</c:v>
                </c:pt>
                <c:pt idx="3">
                  <c:v>98.440249999999992</c:v>
                </c:pt>
                <c:pt idx="4">
                  <c:v>116.10125624999999</c:v>
                </c:pt>
                <c:pt idx="5">
                  <c:v>134.20378765625</c:v>
                </c:pt>
                <c:pt idx="6">
                  <c:v>152.75888234765623</c:v>
                </c:pt>
                <c:pt idx="7">
                  <c:v>171.77785440634764</c:v>
                </c:pt>
                <c:pt idx="8">
                  <c:v>191.27230076650633</c:v>
                </c:pt>
                <c:pt idx="9">
                  <c:v>211.25410828566899</c:v>
                </c:pt>
                <c:pt idx="10">
                  <c:v>231.73546099281069</c:v>
                </c:pt>
                <c:pt idx="11">
                  <c:v>252.72884751763095</c:v>
                </c:pt>
                <c:pt idx="12">
                  <c:v>274.24706870557173</c:v>
                </c:pt>
                <c:pt idx="13">
                  <c:v>296.30324542321102</c:v>
                </c:pt>
                <c:pt idx="14">
                  <c:v>318.91082655879126</c:v>
                </c:pt>
                <c:pt idx="15">
                  <c:v>342.083597222761</c:v>
                </c:pt>
                <c:pt idx="16">
                  <c:v>365.83568715333001</c:v>
                </c:pt>
                <c:pt idx="17">
                  <c:v>390.18157933216321</c:v>
                </c:pt>
                <c:pt idx="18">
                  <c:v>415.13611881546728</c:v>
                </c:pt>
                <c:pt idx="19">
                  <c:v>440.71452178585395</c:v>
                </c:pt>
                <c:pt idx="20">
                  <c:v>466.93238483050021</c:v>
                </c:pt>
                <c:pt idx="21">
                  <c:v>493.8056944512627</c:v>
                </c:pt>
                <c:pt idx="22">
                  <c:v>521.35083681254423</c:v>
                </c:pt>
                <c:pt idx="23">
                  <c:v>549.58460773285788</c:v>
                </c:pt>
                <c:pt idx="24">
                  <c:v>578.52422292617928</c:v>
                </c:pt>
                <c:pt idx="25">
                  <c:v>608.18732849933372</c:v>
                </c:pt>
                <c:pt idx="26">
                  <c:v>638.59201171181701</c:v>
                </c:pt>
                <c:pt idx="27">
                  <c:v>669.75681200461247</c:v>
                </c:pt>
                <c:pt idx="28">
                  <c:v>701.70073230472769</c:v>
                </c:pt>
                <c:pt idx="29">
                  <c:v>734.44325061234588</c:v>
                </c:pt>
                <c:pt idx="30">
                  <c:v>768.00433187765452</c:v>
                </c:pt>
                <c:pt idx="31">
                  <c:v>802.40444017459583</c:v>
                </c:pt>
                <c:pt idx="32">
                  <c:v>837.66455117896066</c:v>
                </c:pt>
                <c:pt idx="33">
                  <c:v>873.80616495843469</c:v>
                </c:pt>
                <c:pt idx="34">
                  <c:v>910.85131908239555</c:v>
                </c:pt>
                <c:pt idx="35">
                  <c:v>948.82260205945533</c:v>
                </c:pt>
                <c:pt idx="36">
                  <c:v>987.74316711094173</c:v>
                </c:pt>
                <c:pt idx="37">
                  <c:v>1027.6367462887151</c:v>
                </c:pt>
                <c:pt idx="38">
                  <c:v>1068.5276649459331</c:v>
                </c:pt>
                <c:pt idx="39">
                  <c:v>1110.4408565695815</c:v>
                </c:pt>
                <c:pt idx="40">
                  <c:v>1153.4018779838209</c:v>
                </c:pt>
                <c:pt idx="41">
                  <c:v>1197.4369249334163</c:v>
                </c:pt>
                <c:pt idx="42">
                  <c:v>1242.5728480567516</c:v>
                </c:pt>
                <c:pt idx="43">
                  <c:v>1288.8371692581704</c:v>
                </c:pt>
                <c:pt idx="44">
                  <c:v>1336.2580984896247</c:v>
                </c:pt>
                <c:pt idx="45">
                  <c:v>1384.8645509518651</c:v>
                </c:pt>
                <c:pt idx="46">
                  <c:v>1434.6861647256615</c:v>
                </c:pt>
                <c:pt idx="47">
                  <c:v>1485.7533188438028</c:v>
                </c:pt>
                <c:pt idx="48">
                  <c:v>1538.0971518148979</c:v>
                </c:pt>
                <c:pt idx="49">
                  <c:v>1591.7495806102702</c:v>
                </c:pt>
              </c:numCache>
            </c:numRef>
          </c:val>
          <c:smooth val="0"/>
          <c:extLst>
            <c:ext xmlns:c16="http://schemas.microsoft.com/office/drawing/2014/chart" uri="{C3380CC4-5D6E-409C-BE32-E72D297353CC}">
              <c16:uniqueId val="{0000000C-E73E-4B97-BC75-3B4010A18EB1}"/>
            </c:ext>
          </c:extLst>
        </c:ser>
        <c:ser>
          <c:idx val="13"/>
          <c:order val="13"/>
          <c:tx>
            <c:strRef>
              <c:f>Cumulative_Costs_2!$A$74</c:f>
              <c:strCache>
                <c:ptCount val="1"/>
                <c:pt idx="0">
                  <c:v> Maintenance </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Cumulative_Costs_2!$B$74:$AY$74</c:f>
              <c:numCache>
                <c:formatCode>_-"$"* #,##0.0_-;\-"$"* #,##0.0_-;_-"$"* "-"??_-;_-@_-</c:formatCode>
                <c:ptCount val="50"/>
                <c:pt idx="0">
                  <c:v>132.99</c:v>
                </c:pt>
                <c:pt idx="1">
                  <c:v>168.9675</c:v>
                </c:pt>
                <c:pt idx="2">
                  <c:v>196.62520312500001</c:v>
                </c:pt>
                <c:pt idx="3">
                  <c:v>224.97434882812502</c:v>
                </c:pt>
                <c:pt idx="4">
                  <c:v>254.0322231738281</c:v>
                </c:pt>
                <c:pt idx="5">
                  <c:v>283.81654437817377</c:v>
                </c:pt>
                <c:pt idx="6">
                  <c:v>314.3454736126281</c:v>
                </c:pt>
                <c:pt idx="7">
                  <c:v>345.63762607794376</c:v>
                </c:pt>
                <c:pt idx="8">
                  <c:v>377.71208235489235</c:v>
                </c:pt>
                <c:pt idx="9">
                  <c:v>410.58840003876458</c:v>
                </c:pt>
                <c:pt idx="10">
                  <c:v>444.28662566473366</c:v>
                </c:pt>
                <c:pt idx="11">
                  <c:v>478.82730693135198</c:v>
                </c:pt>
                <c:pt idx="12">
                  <c:v>514.23150522963579</c:v>
                </c:pt>
                <c:pt idx="13">
                  <c:v>550.52080848537673</c:v>
                </c:pt>
                <c:pt idx="14">
                  <c:v>587.71734432251105</c:v>
                </c:pt>
                <c:pt idx="15">
                  <c:v>625.84379355557382</c:v>
                </c:pt>
                <c:pt idx="16">
                  <c:v>664.92340401946308</c:v>
                </c:pt>
                <c:pt idx="17">
                  <c:v>704.9800047449495</c:v>
                </c:pt>
                <c:pt idx="18">
                  <c:v>746.03802048857324</c:v>
                </c:pt>
                <c:pt idx="19">
                  <c:v>788.12248662578759</c:v>
                </c:pt>
                <c:pt idx="20">
                  <c:v>831.25906441643224</c:v>
                </c:pt>
                <c:pt idx="21">
                  <c:v>875.47405665184294</c:v>
                </c:pt>
                <c:pt idx="22">
                  <c:v>920.79442369313892</c:v>
                </c:pt>
                <c:pt idx="23">
                  <c:v>967.24779991046739</c:v>
                </c:pt>
                <c:pt idx="24">
                  <c:v>1014.8625105332291</c:v>
                </c:pt>
                <c:pt idx="25">
                  <c:v>1063.6675889215599</c:v>
                </c:pt>
                <c:pt idx="26">
                  <c:v>1113.6927942695986</c:v>
                </c:pt>
                <c:pt idx="27">
                  <c:v>1164.9686297513385</c:v>
                </c:pt>
                <c:pt idx="28">
                  <c:v>1217.5263611201219</c:v>
                </c:pt>
                <c:pt idx="29">
                  <c:v>1271.398035773125</c:v>
                </c:pt>
                <c:pt idx="30">
                  <c:v>1326.6165022924531</c:v>
                </c:pt>
                <c:pt idx="31">
                  <c:v>1383.2154304747644</c:v>
                </c:pt>
                <c:pt idx="32">
                  <c:v>1441.2293318616335</c:v>
                </c:pt>
                <c:pt idx="33">
                  <c:v>1500.6935807831742</c:v>
                </c:pt>
                <c:pt idx="34">
                  <c:v>1561.6444359277534</c:v>
                </c:pt>
                <c:pt idx="35">
                  <c:v>1624.1190624509472</c:v>
                </c:pt>
                <c:pt idx="36">
                  <c:v>1688.155554637221</c:v>
                </c:pt>
                <c:pt idx="37">
                  <c:v>1753.7929591281513</c:v>
                </c:pt>
                <c:pt idx="38">
                  <c:v>1821.071298731355</c:v>
                </c:pt>
                <c:pt idx="39">
                  <c:v>1890.0315968246389</c:v>
                </c:pt>
                <c:pt idx="40">
                  <c:v>1960.7159023702545</c:v>
                </c:pt>
                <c:pt idx="41">
                  <c:v>2033.1673155545109</c:v>
                </c:pt>
                <c:pt idx="42">
                  <c:v>2107.4300140683736</c:v>
                </c:pt>
                <c:pt idx="43">
                  <c:v>2183.5492800450825</c:v>
                </c:pt>
                <c:pt idx="44">
                  <c:v>2261.5715276712094</c:v>
                </c:pt>
                <c:pt idx="45">
                  <c:v>2341.5443314879899</c:v>
                </c:pt>
                <c:pt idx="46">
                  <c:v>2423.5164554001894</c:v>
                </c:pt>
                <c:pt idx="47">
                  <c:v>2507.537882410194</c:v>
                </c:pt>
                <c:pt idx="48">
                  <c:v>2593.6598450954489</c:v>
                </c:pt>
                <c:pt idx="49">
                  <c:v>2681.9348568478349</c:v>
                </c:pt>
              </c:numCache>
            </c:numRef>
          </c:val>
          <c:smooth val="0"/>
          <c:extLst>
            <c:ext xmlns:c16="http://schemas.microsoft.com/office/drawing/2014/chart" uri="{C3380CC4-5D6E-409C-BE32-E72D297353CC}">
              <c16:uniqueId val="{0000000D-E73E-4B97-BC75-3B4010A18EB1}"/>
            </c:ext>
          </c:extLst>
        </c:ser>
        <c:ser>
          <c:idx val="14"/>
          <c:order val="14"/>
          <c:tx>
            <c:strRef>
              <c:f>Cumulative_Costs_2!$A$75</c:f>
              <c:strCache>
                <c:ptCount val="1"/>
                <c:pt idx="0">
                  <c:v> Arborist tree health inspection ($) </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Cumulative_Costs_2!$B$75:$AY$75</c:f>
              <c:numCache>
                <c:formatCode>_-"$"* #,##0.0_-;\-"$"* #,##0.0_-;_-"$"* "-"??_-;_-@_-</c:formatCode>
                <c:ptCount val="50"/>
                <c:pt idx="0">
                  <c:v>5</c:v>
                </c:pt>
                <c:pt idx="1">
                  <c:v>10.125</c:v>
                </c:pt>
                <c:pt idx="2">
                  <c:v>15.378125000000001</c:v>
                </c:pt>
                <c:pt idx="3">
                  <c:v>20.762578125000001</c:v>
                </c:pt>
                <c:pt idx="4">
                  <c:v>26.281642578124998</c:v>
                </c:pt>
                <c:pt idx="5">
                  <c:v>31.93868364257812</c:v>
                </c:pt>
                <c:pt idx="6">
                  <c:v>37.737150733642572</c:v>
                </c:pt>
                <c:pt idx="7">
                  <c:v>43.680579501983637</c:v>
                </c:pt>
                <c:pt idx="8">
                  <c:v>49.772593989533227</c:v>
                </c:pt>
                <c:pt idx="9">
                  <c:v>56.016908839271558</c:v>
                </c:pt>
                <c:pt idx="10">
                  <c:v>62.417331560253345</c:v>
                </c:pt>
                <c:pt idx="11">
                  <c:v>68.977764849259671</c:v>
                </c:pt>
                <c:pt idx="12">
                  <c:v>75.702208970491171</c:v>
                </c:pt>
                <c:pt idx="13">
                  <c:v>82.594764194753438</c:v>
                </c:pt>
                <c:pt idx="14">
                  <c:v>89.659633299622271</c:v>
                </c:pt>
                <c:pt idx="15">
                  <c:v>96.901124132112813</c:v>
                </c:pt>
                <c:pt idx="16">
                  <c:v>104.32365223541564</c:v>
                </c:pt>
                <c:pt idx="17">
                  <c:v>111.93174354130102</c:v>
                </c:pt>
                <c:pt idx="18">
                  <c:v>119.73003712983355</c:v>
                </c:pt>
                <c:pt idx="19">
                  <c:v>127.72328805807938</c:v>
                </c:pt>
                <c:pt idx="20">
                  <c:v>135.91637025953136</c:v>
                </c:pt>
                <c:pt idx="21">
                  <c:v>144.31427951601964</c:v>
                </c:pt>
                <c:pt idx="22">
                  <c:v>152.92213650392011</c:v>
                </c:pt>
                <c:pt idx="23">
                  <c:v>161.74518991651811</c:v>
                </c:pt>
                <c:pt idx="24">
                  <c:v>170.78881966443106</c:v>
                </c:pt>
                <c:pt idx="25">
                  <c:v>180.05854015604183</c:v>
                </c:pt>
                <c:pt idx="26">
                  <c:v>189.56000365994285</c:v>
                </c:pt>
                <c:pt idx="27">
                  <c:v>199.2990037514414</c:v>
                </c:pt>
                <c:pt idx="28">
                  <c:v>209.28147884522744</c:v>
                </c:pt>
                <c:pt idx="29">
                  <c:v>219.51351581635811</c:v>
                </c:pt>
                <c:pt idx="30">
                  <c:v>230.00135371176708</c:v>
                </c:pt>
                <c:pt idx="31">
                  <c:v>240.75138755456126</c:v>
                </c:pt>
                <c:pt idx="32">
                  <c:v>251.77017224342529</c:v>
                </c:pt>
                <c:pt idx="33">
                  <c:v>263.06442654951093</c:v>
                </c:pt>
                <c:pt idx="34">
                  <c:v>274.64103721324869</c:v>
                </c:pt>
                <c:pt idx="35">
                  <c:v>286.5070631435799</c:v>
                </c:pt>
                <c:pt idx="36">
                  <c:v>298.66973972216937</c:v>
                </c:pt>
                <c:pt idx="37">
                  <c:v>311.13648321522356</c:v>
                </c:pt>
                <c:pt idx="38">
                  <c:v>323.91489529560414</c:v>
                </c:pt>
                <c:pt idx="39">
                  <c:v>337.01276767799419</c:v>
                </c:pt>
                <c:pt idx="40">
                  <c:v>350.43808686994402</c:v>
                </c:pt>
                <c:pt idx="41">
                  <c:v>364.19903904169257</c:v>
                </c:pt>
                <c:pt idx="42">
                  <c:v>378.30401501773486</c:v>
                </c:pt>
                <c:pt idx="43">
                  <c:v>392.7616153931782</c:v>
                </c:pt>
                <c:pt idx="44">
                  <c:v>407.58065577800767</c:v>
                </c:pt>
                <c:pt idx="45">
                  <c:v>422.77017217245782</c:v>
                </c:pt>
                <c:pt idx="46">
                  <c:v>438.33942647676923</c:v>
                </c:pt>
                <c:pt idx="47">
                  <c:v>454.29791213868839</c:v>
                </c:pt>
                <c:pt idx="48">
                  <c:v>470.65535994215566</c:v>
                </c:pt>
                <c:pt idx="49">
                  <c:v>487.42174394070952</c:v>
                </c:pt>
              </c:numCache>
            </c:numRef>
          </c:val>
          <c:smooth val="0"/>
          <c:extLst>
            <c:ext xmlns:c16="http://schemas.microsoft.com/office/drawing/2014/chart" uri="{C3380CC4-5D6E-409C-BE32-E72D297353CC}">
              <c16:uniqueId val="{0000000E-E73E-4B97-BC75-3B4010A18EB1}"/>
            </c:ext>
          </c:extLst>
        </c:ser>
        <c:ser>
          <c:idx val="15"/>
          <c:order val="15"/>
          <c:tx>
            <c:strRef>
              <c:f>Cumulative_Costs_2!$A$76</c:f>
              <c:strCache>
                <c:ptCount val="1"/>
                <c:pt idx="0">
                  <c:v> Visual tree inspection ($) </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Cumulative_Costs_2!$B$76:$AY$76</c:f>
              <c:numCache>
                <c:formatCode>_-"$"* #,##0.0_-;\-"$"* #,##0.0_-;_-"$"* "-"??_-;_-@_-</c:formatCode>
                <c:ptCount val="50"/>
                <c:pt idx="0">
                  <c:v>3</c:v>
                </c:pt>
                <c:pt idx="1">
                  <c:v>6.0750000000000002</c:v>
                </c:pt>
                <c:pt idx="2">
                  <c:v>9.2268749999999997</c:v>
                </c:pt>
                <c:pt idx="3">
                  <c:v>12.457546875</c:v>
                </c:pt>
                <c:pt idx="4">
                  <c:v>15.768985546875001</c:v>
                </c:pt>
                <c:pt idx="5">
                  <c:v>19.163210185546873</c:v>
                </c:pt>
                <c:pt idx="6">
                  <c:v>22.642290440185544</c:v>
                </c:pt>
                <c:pt idx="7">
                  <c:v>26.208347701190181</c:v>
                </c:pt>
                <c:pt idx="8">
                  <c:v>29.863556393719936</c:v>
                </c:pt>
                <c:pt idx="9">
                  <c:v>33.610145303562931</c:v>
                </c:pt>
                <c:pt idx="10">
                  <c:v>37.450398936151998</c:v>
                </c:pt>
                <c:pt idx="11">
                  <c:v>41.386658909555798</c:v>
                </c:pt>
                <c:pt idx="12">
                  <c:v>45.42132538229469</c:v>
                </c:pt>
                <c:pt idx="13">
                  <c:v>49.556858516852053</c:v>
                </c:pt>
                <c:pt idx="14">
                  <c:v>53.79577997977335</c:v>
                </c:pt>
                <c:pt idx="15">
                  <c:v>58.14067447926768</c:v>
                </c:pt>
                <c:pt idx="16">
                  <c:v>62.59419134124937</c:v>
                </c:pt>
                <c:pt idx="17">
                  <c:v>67.159046124780602</c:v>
                </c:pt>
                <c:pt idx="18">
                  <c:v>71.838022277900109</c:v>
                </c:pt>
                <c:pt idx="19">
                  <c:v>76.633972834847611</c:v>
                </c:pt>
                <c:pt idx="20">
                  <c:v>81.5498221557188</c:v>
                </c:pt>
                <c:pt idx="21">
                  <c:v>86.588567709611766</c:v>
                </c:pt>
                <c:pt idx="22">
                  <c:v>91.753281902352043</c:v>
                </c:pt>
                <c:pt idx="23">
                  <c:v>97.047113949910838</c:v>
                </c:pt>
                <c:pt idx="24">
                  <c:v>102.47329179865861</c:v>
                </c:pt>
                <c:pt idx="25">
                  <c:v>108.03512409362507</c:v>
                </c:pt>
                <c:pt idx="26">
                  <c:v>113.7360021959657</c:v>
                </c:pt>
                <c:pt idx="27">
                  <c:v>119.57940225086485</c:v>
                </c:pt>
                <c:pt idx="28">
                  <c:v>125.56888730713646</c:v>
                </c:pt>
                <c:pt idx="29">
                  <c:v>131.70810948981486</c:v>
                </c:pt>
                <c:pt idx="30">
                  <c:v>138.00081222706024</c:v>
                </c:pt>
                <c:pt idx="31">
                  <c:v>144.45083253273674</c:v>
                </c:pt>
                <c:pt idx="32">
                  <c:v>151.06210334605512</c:v>
                </c:pt>
                <c:pt idx="33">
                  <c:v>157.8386559297065</c:v>
                </c:pt>
                <c:pt idx="34">
                  <c:v>164.78462232794919</c:v>
                </c:pt>
                <c:pt idx="35">
                  <c:v>171.90423788614788</c:v>
                </c:pt>
                <c:pt idx="36">
                  <c:v>179.20184383330158</c:v>
                </c:pt>
                <c:pt idx="37">
                  <c:v>186.68188992913409</c:v>
                </c:pt>
                <c:pt idx="38">
                  <c:v>194.34893717736242</c:v>
                </c:pt>
                <c:pt idx="39">
                  <c:v>202.20766060679648</c:v>
                </c:pt>
                <c:pt idx="40">
                  <c:v>210.26285212196638</c:v>
                </c:pt>
                <c:pt idx="41">
                  <c:v>218.51942342501553</c:v>
                </c:pt>
                <c:pt idx="42">
                  <c:v>226.98240901064091</c:v>
                </c:pt>
                <c:pt idx="43">
                  <c:v>235.6569692359069</c:v>
                </c:pt>
                <c:pt idx="44">
                  <c:v>244.54839346680455</c:v>
                </c:pt>
                <c:pt idx="45">
                  <c:v>253.66210330347465</c:v>
                </c:pt>
                <c:pt idx="46">
                  <c:v>263.00365588606149</c:v>
                </c:pt>
                <c:pt idx="47">
                  <c:v>272.57874728321303</c:v>
                </c:pt>
                <c:pt idx="48">
                  <c:v>282.39321596529334</c:v>
                </c:pt>
                <c:pt idx="49">
                  <c:v>292.45304636442563</c:v>
                </c:pt>
              </c:numCache>
            </c:numRef>
          </c:val>
          <c:smooth val="0"/>
          <c:extLst>
            <c:ext xmlns:c16="http://schemas.microsoft.com/office/drawing/2014/chart" uri="{C3380CC4-5D6E-409C-BE32-E72D297353CC}">
              <c16:uniqueId val="{0000000F-E73E-4B97-BC75-3B4010A18EB1}"/>
            </c:ext>
          </c:extLst>
        </c:ser>
        <c:ser>
          <c:idx val="16"/>
          <c:order val="16"/>
          <c:tx>
            <c:strRef>
              <c:f>Cumulative_Costs_2!$A$77</c:f>
              <c:strCache>
                <c:ptCount val="1"/>
                <c:pt idx="0">
                  <c:v> GIS mapping and inventory assessment ($) </c:v>
                </c:pt>
              </c:strCache>
            </c:strRef>
          </c:tx>
          <c:spPr>
            <a:ln w="22225" cap="rnd">
              <a:solidFill>
                <a:schemeClr val="accent5">
                  <a:lumMod val="80000"/>
                  <a:lumOff val="20000"/>
                </a:schemeClr>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Cumulative_Costs_2!$B$77:$AY$77</c:f>
              <c:numCache>
                <c:formatCode>_-"$"* #,##0.0_-;\-"$"* #,##0.0_-;_-"$"* "-"??_-;_-@_-</c:formatCode>
                <c:ptCount val="50"/>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2.4</c:v>
                </c:pt>
                <c:pt idx="18">
                  <c:v>2.4</c:v>
                </c:pt>
                <c:pt idx="19">
                  <c:v>2.4</c:v>
                </c:pt>
                <c:pt idx="20">
                  <c:v>2.4</c:v>
                </c:pt>
                <c:pt idx="21">
                  <c:v>2.4</c:v>
                </c:pt>
                <c:pt idx="22">
                  <c:v>2.4</c:v>
                </c:pt>
                <c:pt idx="23">
                  <c:v>2.4</c:v>
                </c:pt>
                <c:pt idx="24">
                  <c:v>2.4</c:v>
                </c:pt>
                <c:pt idx="25">
                  <c:v>2.4</c:v>
                </c:pt>
                <c:pt idx="26">
                  <c:v>2.4</c:v>
                </c:pt>
                <c:pt idx="27">
                  <c:v>2.4</c:v>
                </c:pt>
                <c:pt idx="28">
                  <c:v>2.4</c:v>
                </c:pt>
                <c:pt idx="29">
                  <c:v>2.4</c:v>
                </c:pt>
                <c:pt idx="30">
                  <c:v>2.4</c:v>
                </c:pt>
                <c:pt idx="31">
                  <c:v>2.4</c:v>
                </c:pt>
                <c:pt idx="32">
                  <c:v>2.4</c:v>
                </c:pt>
                <c:pt idx="33">
                  <c:v>2.4</c:v>
                </c:pt>
                <c:pt idx="34">
                  <c:v>2.4</c:v>
                </c:pt>
                <c:pt idx="35">
                  <c:v>2.4</c:v>
                </c:pt>
                <c:pt idx="36">
                  <c:v>2.4</c:v>
                </c:pt>
                <c:pt idx="37">
                  <c:v>2.4</c:v>
                </c:pt>
                <c:pt idx="38">
                  <c:v>2.4</c:v>
                </c:pt>
                <c:pt idx="39">
                  <c:v>2.4</c:v>
                </c:pt>
                <c:pt idx="40">
                  <c:v>2.4</c:v>
                </c:pt>
                <c:pt idx="41">
                  <c:v>2.4</c:v>
                </c:pt>
                <c:pt idx="42">
                  <c:v>2.4</c:v>
                </c:pt>
                <c:pt idx="43">
                  <c:v>2.4</c:v>
                </c:pt>
                <c:pt idx="44">
                  <c:v>2.4</c:v>
                </c:pt>
                <c:pt idx="45">
                  <c:v>2.4</c:v>
                </c:pt>
                <c:pt idx="46">
                  <c:v>2.4</c:v>
                </c:pt>
                <c:pt idx="47">
                  <c:v>2.4</c:v>
                </c:pt>
                <c:pt idx="48">
                  <c:v>2.4</c:v>
                </c:pt>
                <c:pt idx="49">
                  <c:v>2.4</c:v>
                </c:pt>
              </c:numCache>
            </c:numRef>
          </c:val>
          <c:smooth val="0"/>
          <c:extLst>
            <c:ext xmlns:c16="http://schemas.microsoft.com/office/drawing/2014/chart" uri="{C3380CC4-5D6E-409C-BE32-E72D297353CC}">
              <c16:uniqueId val="{00000010-E73E-4B97-BC75-3B4010A18EB1}"/>
            </c:ext>
          </c:extLst>
        </c:ser>
        <c:ser>
          <c:idx val="17"/>
          <c:order val="17"/>
          <c:tx>
            <c:strRef>
              <c:f>Cumulative_Costs_2!$A$78</c:f>
              <c:strCache>
                <c:ptCount val="1"/>
                <c:pt idx="0">
                  <c:v> User specified cost item 1 ($/tree in Year 1 only) </c:v>
                </c:pt>
              </c:strCache>
            </c:strRef>
          </c:tx>
          <c:spPr>
            <a:ln w="22225" cap="rnd">
              <a:solidFill>
                <a:schemeClr val="accent6">
                  <a:lumMod val="80000"/>
                  <a:lumOff val="20000"/>
                </a:schemeClr>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Cumulative_Costs_2!$B$78:$AY$78</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1-E73E-4B97-BC75-3B4010A18EB1}"/>
            </c:ext>
          </c:extLst>
        </c:ser>
        <c:ser>
          <c:idx val="18"/>
          <c:order val="18"/>
          <c:tx>
            <c:strRef>
              <c:f>Cumulative_Costs_2!$A$79</c:f>
              <c:strCache>
                <c:ptCount val="1"/>
                <c:pt idx="0">
                  <c:v> User specified cost item 2 ($/tree per annum up to year 2) </c:v>
                </c:pt>
              </c:strCache>
            </c:strRef>
          </c:tx>
          <c:spPr>
            <a:ln w="22225" cap="rnd">
              <a:solidFill>
                <a:schemeClr val="accent1">
                  <a:lumMod val="80000"/>
                </a:schemeClr>
              </a:solidFill>
              <a:round/>
            </a:ln>
            <a:effectLst/>
          </c:spPr>
          <c:marker>
            <c:symbol val="diamond"/>
            <c:size val="6"/>
            <c:spPr>
              <a:solidFill>
                <a:schemeClr val="accent1">
                  <a:lumMod val="80000"/>
                </a:schemeClr>
              </a:solidFill>
              <a:ln w="9525">
                <a:solidFill>
                  <a:schemeClr val="accent1">
                    <a:lumMod val="8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Cumulative_Costs_2!$B$79:$AY$79</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2-E73E-4B97-BC75-3B4010A18EB1}"/>
            </c:ext>
          </c:extLst>
        </c:ser>
        <c:ser>
          <c:idx val="19"/>
          <c:order val="19"/>
          <c:tx>
            <c:strRef>
              <c:f>Cumulative_Costs_2!$A$80</c:f>
              <c:strCache>
                <c:ptCount val="1"/>
                <c:pt idx="0">
                  <c:v> User specified cost item 3 ($/tree per annum) </c:v>
                </c:pt>
              </c:strCache>
            </c:strRef>
          </c:tx>
          <c:spPr>
            <a:ln w="22225" cap="rnd">
              <a:solidFill>
                <a:schemeClr val="accent2">
                  <a:lumMod val="80000"/>
                </a:schemeClr>
              </a:solidFill>
              <a:round/>
            </a:ln>
            <a:effectLst/>
          </c:spPr>
          <c:marker>
            <c:symbol val="square"/>
            <c:size val="6"/>
            <c:spPr>
              <a:solidFill>
                <a:schemeClr val="accent2">
                  <a:lumMod val="80000"/>
                </a:schemeClr>
              </a:solidFill>
              <a:ln w="9525">
                <a:solidFill>
                  <a:schemeClr val="accent2">
                    <a:lumMod val="8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Cumulative_Costs_2!$B$80:$AY$80</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3-E73E-4B97-BC75-3B4010A18EB1}"/>
            </c:ext>
          </c:extLst>
        </c:ser>
        <c:ser>
          <c:idx val="20"/>
          <c:order val="20"/>
          <c:tx>
            <c:strRef>
              <c:f>Cumulative_Costs_2!$A$81</c:f>
              <c:strCache>
                <c:ptCount val="1"/>
                <c:pt idx="0">
                  <c:v> User specified cost item 4 ($/tree per annum) </c:v>
                </c:pt>
              </c:strCache>
            </c:strRef>
          </c:tx>
          <c:spPr>
            <a:ln w="22225" cap="rnd">
              <a:solidFill>
                <a:schemeClr val="accent3">
                  <a:lumMod val="80000"/>
                </a:schemeClr>
              </a:solidFill>
              <a:round/>
            </a:ln>
            <a:effectLst/>
          </c:spPr>
          <c:marker>
            <c:symbol val="triangle"/>
            <c:size val="6"/>
            <c:spPr>
              <a:solidFill>
                <a:schemeClr val="accent3">
                  <a:lumMod val="80000"/>
                </a:schemeClr>
              </a:solidFill>
              <a:ln w="9525">
                <a:solidFill>
                  <a:schemeClr val="accent3">
                    <a:lumMod val="8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Cumulative_Costs_2!$B$81:$AY$81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4-E73E-4B97-BC75-3B4010A18EB1}"/>
            </c:ext>
          </c:extLst>
        </c:ser>
        <c:ser>
          <c:idx val="21"/>
          <c:order val="21"/>
          <c:tx>
            <c:strRef>
              <c:f>Cumulative_Costs_2!$A$82</c:f>
              <c:strCache>
                <c:ptCount val="1"/>
                <c:pt idx="0">
                  <c:v> User specified cost item 5 ($/tree per annum) </c:v>
                </c:pt>
              </c:strCache>
            </c:strRef>
          </c:tx>
          <c:spPr>
            <a:ln w="22225" cap="rnd">
              <a:solidFill>
                <a:schemeClr val="accent4">
                  <a:lumMod val="80000"/>
                </a:schemeClr>
              </a:solidFill>
              <a:round/>
            </a:ln>
            <a:effectLst/>
          </c:spPr>
          <c:marker>
            <c:symbol val="x"/>
            <c:size val="6"/>
            <c:spPr>
              <a:noFill/>
              <a:ln w="9525">
                <a:solidFill>
                  <a:schemeClr val="accent4">
                    <a:lumMod val="8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Cumulative_Costs_2!$B$82:$AY$82</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5-E73E-4B97-BC75-3B4010A18EB1}"/>
            </c:ext>
          </c:extLst>
        </c:ser>
        <c:ser>
          <c:idx val="22"/>
          <c:order val="22"/>
          <c:tx>
            <c:strRef>
              <c:f>Cumulative_Costs_2!$A$83</c:f>
              <c:strCache>
                <c:ptCount val="1"/>
                <c:pt idx="0">
                  <c:v> Total </c:v>
                </c:pt>
              </c:strCache>
            </c:strRef>
          </c:tx>
          <c:spPr>
            <a:ln w="22225" cap="rnd">
              <a:solidFill>
                <a:schemeClr val="accent5">
                  <a:lumMod val="80000"/>
                </a:schemeClr>
              </a:solidFill>
              <a:round/>
            </a:ln>
            <a:effectLst/>
          </c:spPr>
          <c:marker>
            <c:symbol val="star"/>
            <c:size val="6"/>
            <c:spPr>
              <a:noFill/>
              <a:ln w="9525">
                <a:solidFill>
                  <a:schemeClr val="accent5">
                    <a:lumMod val="80000"/>
                  </a:schemeClr>
                </a:solidFill>
                <a:round/>
              </a:ln>
              <a:effectLst/>
            </c:spPr>
          </c:marker>
          <c:cat>
            <c:strRef>
              <c:f>Cumulative_Costs_2!$B$60:$AY$60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Cumulative_Costs_2!$B$83:$AY$83</c:f>
              <c:numCache>
                <c:formatCode>_-"$"* #,##0.0_-;\-"$"* #,##0.0_-;_-"$"* "-"??_-;_-@_-</c:formatCode>
                <c:ptCount val="50"/>
                <c:pt idx="0">
                  <c:v>416.93446377960333</c:v>
                </c:pt>
                <c:pt idx="1">
                  <c:v>477.51196377960326</c:v>
                </c:pt>
                <c:pt idx="2">
                  <c:v>530.38466690460325</c:v>
                </c:pt>
                <c:pt idx="3">
                  <c:v>584.57918760772839</c:v>
                </c:pt>
                <c:pt idx="4">
                  <c:v>640.12857132843146</c:v>
                </c:pt>
                <c:pt idx="5">
                  <c:v>697.06668964215203</c:v>
                </c:pt>
                <c:pt idx="6">
                  <c:v>805.93290927688713</c:v>
                </c:pt>
                <c:pt idx="7">
                  <c:v>917.52078440249056</c:v>
                </c:pt>
                <c:pt idx="8">
                  <c:v>1031.8983564062344</c:v>
                </c:pt>
                <c:pt idx="9">
                  <c:v>1149.135367710071</c:v>
                </c:pt>
                <c:pt idx="10">
                  <c:v>1269.3033042965042</c:v>
                </c:pt>
                <c:pt idx="11">
                  <c:v>1392.4754392975981</c:v>
                </c:pt>
                <c:pt idx="12">
                  <c:v>1518.7268776737194</c:v>
                </c:pt>
                <c:pt idx="13">
                  <c:v>1648.1346020092435</c:v>
                </c:pt>
                <c:pt idx="14">
                  <c:v>1780.7775194531559</c:v>
                </c:pt>
                <c:pt idx="15">
                  <c:v>1916.7365098331659</c:v>
                </c:pt>
                <c:pt idx="16">
                  <c:v>2056.0944749726764</c:v>
                </c:pt>
                <c:pt idx="17">
                  <c:v>2198.9363892406741</c:v>
                </c:pt>
                <c:pt idx="18">
                  <c:v>2345.3493513653721</c:v>
                </c:pt>
                <c:pt idx="19">
                  <c:v>2495.4226375431881</c:v>
                </c:pt>
                <c:pt idx="20">
                  <c:v>2649.247755875449</c:v>
                </c:pt>
                <c:pt idx="21">
                  <c:v>2806.918502166016</c:v>
                </c:pt>
                <c:pt idx="22">
                  <c:v>2968.5310171138481</c:v>
                </c:pt>
                <c:pt idx="23">
                  <c:v>3134.183844935375</c:v>
                </c:pt>
                <c:pt idx="24">
                  <c:v>3303.9779934524404</c:v>
                </c:pt>
                <c:pt idx="25">
                  <c:v>3478.0169956824329</c:v>
                </c:pt>
                <c:pt idx="26">
                  <c:v>3656.4069729681751</c:v>
                </c:pt>
                <c:pt idx="27">
                  <c:v>3839.2566996860601</c:v>
                </c:pt>
                <c:pt idx="28">
                  <c:v>4026.6776695718922</c:v>
                </c:pt>
                <c:pt idx="29">
                  <c:v>4218.7841637048696</c:v>
                </c:pt>
                <c:pt idx="30">
                  <c:v>4415.6933201911743</c:v>
                </c:pt>
                <c:pt idx="31">
                  <c:v>4617.5252055896335</c:v>
                </c:pt>
                <c:pt idx="32">
                  <c:v>4824.4028881230552</c:v>
                </c:pt>
                <c:pt idx="33">
                  <c:v>5036.452512719814</c:v>
                </c:pt>
                <c:pt idx="34">
                  <c:v>5253.8033779314892</c:v>
                </c:pt>
                <c:pt idx="35">
                  <c:v>5476.5880147734579</c:v>
                </c:pt>
                <c:pt idx="36">
                  <c:v>5704.9422675364758</c:v>
                </c:pt>
                <c:pt idx="37">
                  <c:v>5939.0053766185683</c:v>
                </c:pt>
                <c:pt idx="38">
                  <c:v>6178.9200634277122</c:v>
                </c:pt>
                <c:pt idx="39">
                  <c:v>6424.8326174070871</c:v>
                </c:pt>
                <c:pt idx="40">
                  <c:v>6676.8929852359443</c:v>
                </c:pt>
                <c:pt idx="41">
                  <c:v>6935.2548622605245</c:v>
                </c:pt>
                <c:pt idx="42">
                  <c:v>7200.0757862107184</c:v>
                </c:pt>
                <c:pt idx="43">
                  <c:v>7471.5172332596685</c:v>
                </c:pt>
                <c:pt idx="44">
                  <c:v>7749.744716484839</c:v>
                </c:pt>
                <c:pt idx="45">
                  <c:v>8034.9278867906414</c:v>
                </c:pt>
                <c:pt idx="46">
                  <c:v>8327.2406363540886</c:v>
                </c:pt>
                <c:pt idx="47">
                  <c:v>8626.8612046566213</c:v>
                </c:pt>
                <c:pt idx="48">
                  <c:v>8933.9722871667182</c:v>
                </c:pt>
                <c:pt idx="49">
                  <c:v>9248.7611467395673</c:v>
                </c:pt>
              </c:numCache>
            </c:numRef>
          </c:val>
          <c:smooth val="0"/>
          <c:extLst>
            <c:ext xmlns:c16="http://schemas.microsoft.com/office/drawing/2014/chart" uri="{C3380CC4-5D6E-409C-BE32-E72D297353CC}">
              <c16:uniqueId val="{00000016-E73E-4B97-BC75-3B4010A18EB1}"/>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quot;$&quot;* #,##0.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costs for</a:t>
            </a:r>
            <a:r>
              <a:rPr lang="en-US" baseline="0"/>
              <a:t> whole project</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Cumulative_Costs_2!$A$27</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Cumulative_Costs_2!$B$4:$AY$4</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Cumulative_Costs_2!$B$27:$AY$27</c:f>
              <c:numCache>
                <c:formatCode>_-"$"* #,##0_-;\-"$"* #,##0_-;_-"$"* "-"??_-;_-@_-</c:formatCode>
                <c:ptCount val="50"/>
                <c:pt idx="0">
                  <c:v>41693.446377960332</c:v>
                </c:pt>
                <c:pt idx="1">
                  <c:v>47751.196377960332</c:v>
                </c:pt>
                <c:pt idx="2">
                  <c:v>53038.466690460336</c:v>
                </c:pt>
                <c:pt idx="3">
                  <c:v>58457.918760772831</c:v>
                </c:pt>
                <c:pt idx="4">
                  <c:v>64012.857132843143</c:v>
                </c:pt>
                <c:pt idx="5">
                  <c:v>69706.66896421522</c:v>
                </c:pt>
                <c:pt idx="6">
                  <c:v>80593.290927688722</c:v>
                </c:pt>
                <c:pt idx="7">
                  <c:v>91752.078440249054</c:v>
                </c:pt>
                <c:pt idx="8">
                  <c:v>103189.83564062341</c:v>
                </c:pt>
                <c:pt idx="9">
                  <c:v>114913.53677100712</c:v>
                </c:pt>
                <c:pt idx="10">
                  <c:v>126930.33042965042</c:v>
                </c:pt>
                <c:pt idx="11">
                  <c:v>139247.54392975979</c:v>
                </c:pt>
                <c:pt idx="12">
                  <c:v>151872.68776737191</c:v>
                </c:pt>
                <c:pt idx="13">
                  <c:v>164813.46020092434</c:v>
                </c:pt>
                <c:pt idx="14">
                  <c:v>178077.75194531557</c:v>
                </c:pt>
                <c:pt idx="15">
                  <c:v>191673.65098331659</c:v>
                </c:pt>
                <c:pt idx="16">
                  <c:v>205609.44749726763</c:v>
                </c:pt>
                <c:pt idx="17">
                  <c:v>219893.63892406746</c:v>
                </c:pt>
                <c:pt idx="18">
                  <c:v>234534.93513653721</c:v>
                </c:pt>
                <c:pt idx="19">
                  <c:v>249542.26375431879</c:v>
                </c:pt>
                <c:pt idx="20">
                  <c:v>264924.77558754483</c:v>
                </c:pt>
                <c:pt idx="21">
                  <c:v>280691.85021660163</c:v>
                </c:pt>
                <c:pt idx="22">
                  <c:v>296853.10171138472</c:v>
                </c:pt>
                <c:pt idx="23">
                  <c:v>313418.38449353754</c:v>
                </c:pt>
                <c:pt idx="24">
                  <c:v>330397.79934524407</c:v>
                </c:pt>
                <c:pt idx="25">
                  <c:v>347801.69956824329</c:v>
                </c:pt>
                <c:pt idx="26">
                  <c:v>365640.6972968175</c:v>
                </c:pt>
                <c:pt idx="27">
                  <c:v>383925.66996860603</c:v>
                </c:pt>
                <c:pt idx="28">
                  <c:v>402667.76695718925</c:v>
                </c:pt>
                <c:pt idx="29">
                  <c:v>421878.41637048707</c:v>
                </c:pt>
                <c:pt idx="30">
                  <c:v>441569.33201911737</c:v>
                </c:pt>
                <c:pt idx="31">
                  <c:v>461752.52055896341</c:v>
                </c:pt>
                <c:pt idx="32">
                  <c:v>482440.2888123056</c:v>
                </c:pt>
                <c:pt idx="33">
                  <c:v>503645.25127198134</c:v>
                </c:pt>
                <c:pt idx="34">
                  <c:v>525380.33779314905</c:v>
                </c:pt>
                <c:pt idx="35">
                  <c:v>547658.80147734587</c:v>
                </c:pt>
                <c:pt idx="36">
                  <c:v>570494.22675364767</c:v>
                </c:pt>
                <c:pt idx="37">
                  <c:v>593900.53766185697</c:v>
                </c:pt>
                <c:pt idx="38">
                  <c:v>617892.00634277135</c:v>
                </c:pt>
                <c:pt idx="39">
                  <c:v>642483.26174070872</c:v>
                </c:pt>
                <c:pt idx="40">
                  <c:v>667689.29852359451</c:v>
                </c:pt>
                <c:pt idx="41">
                  <c:v>693525.48622605251</c:v>
                </c:pt>
                <c:pt idx="42">
                  <c:v>720007.57862107188</c:v>
                </c:pt>
                <c:pt idx="43">
                  <c:v>747151.72332596674</c:v>
                </c:pt>
                <c:pt idx="44">
                  <c:v>774974.471648484</c:v>
                </c:pt>
                <c:pt idx="45">
                  <c:v>803492.78867906414</c:v>
                </c:pt>
                <c:pt idx="46">
                  <c:v>832724.06363540888</c:v>
                </c:pt>
                <c:pt idx="47">
                  <c:v>862686.12046566233</c:v>
                </c:pt>
                <c:pt idx="48">
                  <c:v>893397.22871667182</c:v>
                </c:pt>
                <c:pt idx="49">
                  <c:v>924876.11467395688</c:v>
                </c:pt>
              </c:numCache>
            </c:numRef>
          </c:val>
          <c:smooth val="0"/>
          <c:extLst>
            <c:ext xmlns:c16="http://schemas.microsoft.com/office/drawing/2014/chart" uri="{C3380CC4-5D6E-409C-BE32-E72D297353CC}">
              <c16:uniqueId val="{00000000-6BCD-41B0-A0FD-27F0D60CD534}"/>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TOTAL costs PER ha</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Cumulative_Costs_3!$A$73</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Cumulative_Costs_3!$B$55:$AY$55</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Cumulative_Costs_3!$B$73:$AY$73</c:f>
              <c:numCache>
                <c:formatCode>_-"$"* #,##0.0_-;\-"$"* #,##0.0_-;_-"$"* "-"??_-;_-@_-</c:formatCode>
                <c:ptCount val="50"/>
                <c:pt idx="0">
                  <c:v>5322.9805845622996</c:v>
                </c:pt>
                <c:pt idx="1">
                  <c:v>5517.9611691246</c:v>
                </c:pt>
                <c:pt idx="2">
                  <c:v>5712.9417536868996</c:v>
                </c:pt>
                <c:pt idx="3">
                  <c:v>5907.9223382492</c:v>
                </c:pt>
                <c:pt idx="4">
                  <c:v>6102.9029228114996</c:v>
                </c:pt>
                <c:pt idx="5">
                  <c:v>6297.8835073738001</c:v>
                </c:pt>
                <c:pt idx="6">
                  <c:v>6492.8640919360996</c:v>
                </c:pt>
                <c:pt idx="7">
                  <c:v>6687.8446764984001</c:v>
                </c:pt>
                <c:pt idx="8">
                  <c:v>6882.8252610606996</c:v>
                </c:pt>
                <c:pt idx="9">
                  <c:v>6974.2825467892999</c:v>
                </c:pt>
                <c:pt idx="10">
                  <c:v>7001.7398325178992</c:v>
                </c:pt>
                <c:pt idx="11">
                  <c:v>7029.1971182464995</c:v>
                </c:pt>
                <c:pt idx="12">
                  <c:v>7056.6544039750997</c:v>
                </c:pt>
                <c:pt idx="13">
                  <c:v>7084.1116897037</c:v>
                </c:pt>
                <c:pt idx="14">
                  <c:v>7111.5689754322993</c:v>
                </c:pt>
                <c:pt idx="15">
                  <c:v>7139.0262611608996</c:v>
                </c:pt>
                <c:pt idx="16">
                  <c:v>7166.4835468894998</c:v>
                </c:pt>
                <c:pt idx="17">
                  <c:v>7193.9408326180992</c:v>
                </c:pt>
                <c:pt idx="18">
                  <c:v>7221.3981183466994</c:v>
                </c:pt>
                <c:pt idx="19">
                  <c:v>7248.8554040752997</c:v>
                </c:pt>
                <c:pt idx="20">
                  <c:v>7276.312689803899</c:v>
                </c:pt>
                <c:pt idx="21">
                  <c:v>7303.7699755324993</c:v>
                </c:pt>
                <c:pt idx="22">
                  <c:v>7331.2272612610996</c:v>
                </c:pt>
                <c:pt idx="23">
                  <c:v>7358.6845469896998</c:v>
                </c:pt>
                <c:pt idx="24">
                  <c:v>7386.1418327182992</c:v>
                </c:pt>
                <c:pt idx="25">
                  <c:v>7413.5991184468994</c:v>
                </c:pt>
                <c:pt idx="26">
                  <c:v>7441.0564041754997</c:v>
                </c:pt>
                <c:pt idx="27">
                  <c:v>7468.513689904099</c:v>
                </c:pt>
                <c:pt idx="28">
                  <c:v>7495.9709756326993</c:v>
                </c:pt>
                <c:pt idx="29">
                  <c:v>7523.4282613612995</c:v>
                </c:pt>
                <c:pt idx="30">
                  <c:v>7550.8855470898998</c:v>
                </c:pt>
                <c:pt idx="31">
                  <c:v>7578.3428328184991</c:v>
                </c:pt>
                <c:pt idx="32">
                  <c:v>7605.8001185470994</c:v>
                </c:pt>
                <c:pt idx="33">
                  <c:v>7633.2574042756996</c:v>
                </c:pt>
                <c:pt idx="34">
                  <c:v>7660.714690004299</c:v>
                </c:pt>
                <c:pt idx="35">
                  <c:v>7688.1719757328992</c:v>
                </c:pt>
                <c:pt idx="36">
                  <c:v>7715.6292614614995</c:v>
                </c:pt>
                <c:pt idx="37">
                  <c:v>7743.0865471900988</c:v>
                </c:pt>
                <c:pt idx="38">
                  <c:v>7770.5438329186991</c:v>
                </c:pt>
                <c:pt idx="39">
                  <c:v>7798.0011186472993</c:v>
                </c:pt>
                <c:pt idx="40">
                  <c:v>7825.4584043758996</c:v>
                </c:pt>
                <c:pt idx="41">
                  <c:v>7852.9156901044998</c:v>
                </c:pt>
                <c:pt idx="42">
                  <c:v>7880.3729758330992</c:v>
                </c:pt>
                <c:pt idx="43">
                  <c:v>7907.8302615616994</c:v>
                </c:pt>
                <c:pt idx="44">
                  <c:v>7935.2875472902997</c:v>
                </c:pt>
                <c:pt idx="45">
                  <c:v>7962.7448330189</c:v>
                </c:pt>
                <c:pt idx="46">
                  <c:v>7990.2021187475002</c:v>
                </c:pt>
                <c:pt idx="47">
                  <c:v>8017.6594044761005</c:v>
                </c:pt>
                <c:pt idx="48">
                  <c:v>8045.1166902046998</c:v>
                </c:pt>
                <c:pt idx="49">
                  <c:v>8072.5739759333001</c:v>
                </c:pt>
              </c:numCache>
            </c:numRef>
          </c:val>
          <c:smooth val="0"/>
          <c:extLst>
            <c:ext xmlns:c16="http://schemas.microsoft.com/office/drawing/2014/chart" uri="{C3380CC4-5D6E-409C-BE32-E72D297353CC}">
              <c16:uniqueId val="{00000000-3F74-47EA-8D3E-F3B097E24575}"/>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quot;$&quot;* #,##0.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costs for</a:t>
            </a:r>
            <a:r>
              <a:rPr lang="en-US" baseline="0"/>
              <a:t> whole project</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1519012905291563E-2"/>
          <c:y val="0.13619448671341408"/>
          <c:w val="0.95980550526080721"/>
          <c:h val="0.72373043443144824"/>
        </c:manualLayout>
      </c:layout>
      <c:lineChart>
        <c:grouping val="standard"/>
        <c:varyColors val="0"/>
        <c:ser>
          <c:idx val="0"/>
          <c:order val="0"/>
          <c:tx>
            <c:strRef>
              <c:f>Cumulative_Costs_3!$A$22</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Cumulative_Costs_3!$B$4:$AY$4</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Cumulative_Costs_3!$B$22:$AY$22</c:f>
              <c:numCache>
                <c:formatCode>_-"$"* #,##0_-;\-"$"* #,##0_-;_-"$"* "-"??_-;_-@_-</c:formatCode>
                <c:ptCount val="50"/>
                <c:pt idx="0">
                  <c:v>26614.9029228115</c:v>
                </c:pt>
                <c:pt idx="1">
                  <c:v>27589.805845622999</c:v>
                </c:pt>
                <c:pt idx="2">
                  <c:v>28564.708768434499</c:v>
                </c:pt>
                <c:pt idx="3">
                  <c:v>29539.611691245998</c:v>
                </c:pt>
                <c:pt idx="4">
                  <c:v>30514.514614057502</c:v>
                </c:pt>
                <c:pt idx="5">
                  <c:v>31489.417536869001</c:v>
                </c:pt>
                <c:pt idx="6">
                  <c:v>32464.320459680501</c:v>
                </c:pt>
                <c:pt idx="7">
                  <c:v>33439.223382491997</c:v>
                </c:pt>
                <c:pt idx="8">
                  <c:v>34414.1263053035</c:v>
                </c:pt>
                <c:pt idx="9">
                  <c:v>34871.412733946505</c:v>
                </c:pt>
                <c:pt idx="10">
                  <c:v>35008.699162589503</c:v>
                </c:pt>
                <c:pt idx="11">
                  <c:v>35145.9855912325</c:v>
                </c:pt>
                <c:pt idx="12">
                  <c:v>35283.272019875498</c:v>
                </c:pt>
                <c:pt idx="13">
                  <c:v>35420.558448518495</c:v>
                </c:pt>
                <c:pt idx="14">
                  <c:v>35557.8448771615</c:v>
                </c:pt>
                <c:pt idx="15">
                  <c:v>35695.131305804498</c:v>
                </c:pt>
                <c:pt idx="16">
                  <c:v>35832.417734447503</c:v>
                </c:pt>
                <c:pt idx="17">
                  <c:v>35969.704163090501</c:v>
                </c:pt>
                <c:pt idx="18">
                  <c:v>36106.990591733498</c:v>
                </c:pt>
                <c:pt idx="19">
                  <c:v>36244.277020376496</c:v>
                </c:pt>
                <c:pt idx="20">
                  <c:v>36381.563449019501</c:v>
                </c:pt>
                <c:pt idx="21">
                  <c:v>36518.849877662498</c:v>
                </c:pt>
                <c:pt idx="22">
                  <c:v>36656.136306305503</c:v>
                </c:pt>
                <c:pt idx="23">
                  <c:v>36793.422734948501</c:v>
                </c:pt>
                <c:pt idx="24">
                  <c:v>36930.709163591499</c:v>
                </c:pt>
                <c:pt idx="25">
                  <c:v>37067.995592234496</c:v>
                </c:pt>
                <c:pt idx="26">
                  <c:v>37205.282020877494</c:v>
                </c:pt>
                <c:pt idx="27">
                  <c:v>37342.568449520499</c:v>
                </c:pt>
                <c:pt idx="28">
                  <c:v>37479.854878163504</c:v>
                </c:pt>
                <c:pt idx="29">
                  <c:v>37617.141306806501</c:v>
                </c:pt>
                <c:pt idx="30">
                  <c:v>37754.427735449499</c:v>
                </c:pt>
                <c:pt idx="31">
                  <c:v>37891.714164092497</c:v>
                </c:pt>
                <c:pt idx="32">
                  <c:v>38029.000592735494</c:v>
                </c:pt>
                <c:pt idx="33">
                  <c:v>38166.287021378499</c:v>
                </c:pt>
                <c:pt idx="34">
                  <c:v>38303.573450021497</c:v>
                </c:pt>
                <c:pt idx="35">
                  <c:v>38440.859878664502</c:v>
                </c:pt>
                <c:pt idx="36">
                  <c:v>38578.146307307499</c:v>
                </c:pt>
                <c:pt idx="37">
                  <c:v>38715.432735950497</c:v>
                </c:pt>
                <c:pt idx="38">
                  <c:v>38852.719164593494</c:v>
                </c:pt>
                <c:pt idx="39">
                  <c:v>38990.005593236499</c:v>
                </c:pt>
                <c:pt idx="40">
                  <c:v>39127.292021879497</c:v>
                </c:pt>
                <c:pt idx="41">
                  <c:v>39264.578450522502</c:v>
                </c:pt>
                <c:pt idx="42">
                  <c:v>39401.8648791655</c:v>
                </c:pt>
                <c:pt idx="43">
                  <c:v>39539.151307808497</c:v>
                </c:pt>
                <c:pt idx="44">
                  <c:v>39676.437736451502</c:v>
                </c:pt>
                <c:pt idx="45">
                  <c:v>39813.7241650945</c:v>
                </c:pt>
                <c:pt idx="46">
                  <c:v>39951.010593737505</c:v>
                </c:pt>
                <c:pt idx="47">
                  <c:v>40088.297022380502</c:v>
                </c:pt>
                <c:pt idx="48">
                  <c:v>40225.5834510235</c:v>
                </c:pt>
                <c:pt idx="49">
                  <c:v>40362.869879666498</c:v>
                </c:pt>
              </c:numCache>
            </c:numRef>
          </c:val>
          <c:smooth val="0"/>
          <c:extLst>
            <c:ext xmlns:c16="http://schemas.microsoft.com/office/drawing/2014/chart" uri="{C3380CC4-5D6E-409C-BE32-E72D297353CC}">
              <c16:uniqueId val="{00000000-8E1E-452F-AE8E-60A3FE3E06E3}"/>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Option 1 - Life cycle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501280865071723"/>
          <c:y val="0.25776286160951195"/>
          <c:w val="0.55793601339400911"/>
          <c:h val="0.635681195588256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35-4017-B570-95BAF87E5F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35-4017-B570-95BAF87E5F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035-4017-B570-95BAF87E5FD7}"/>
              </c:ext>
            </c:extLst>
          </c:dPt>
          <c:dLbls>
            <c:dLbl>
              <c:idx val="0"/>
              <c:layout>
                <c:manualLayout>
                  <c:x val="3.9838111056430446E-2"/>
                  <c:y val="-0.1193295719924773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35-4017-B570-95BAF87E5FD7}"/>
                </c:ext>
              </c:extLst>
            </c:dLbl>
            <c:dLbl>
              <c:idx val="1"/>
              <c:layout>
                <c:manualLayout>
                  <c:x val="-0.1136233121462227"/>
                  <c:y val="-1.9353500605944002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54006107326548"/>
                      <c:h val="0.1829844473013276"/>
                    </c:manualLayout>
                  </c15:layout>
                </c:ext>
                <c:ext xmlns:c16="http://schemas.microsoft.com/office/drawing/2014/chart" uri="{C3380CC4-5D6E-409C-BE32-E72D297353CC}">
                  <c16:uniqueId val="{00000003-5035-4017-B570-95BAF87E5FD7}"/>
                </c:ext>
              </c:extLst>
            </c:dLbl>
            <c:dLbl>
              <c:idx val="2"/>
              <c:layout>
                <c:manualLayout>
                  <c:x val="-3.1050073818897638E-2"/>
                  <c:y val="-1.839957013247361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35-4017-B570-95BAF87E5FD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in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Results_Summary!$A$13:$A$15</c:f>
              <c:strCache>
                <c:ptCount val="3"/>
                <c:pt idx="0">
                  <c:v> Establishment </c:v>
                </c:pt>
                <c:pt idx="1">
                  <c:v> Inspections and maintenance </c:v>
                </c:pt>
                <c:pt idx="2">
                  <c:v> Net mortality </c:v>
                </c:pt>
              </c:strCache>
            </c:strRef>
          </c:cat>
          <c:val>
            <c:numRef>
              <c:f>Results_Summary!$B$13:$B$15</c:f>
              <c:numCache>
                <c:formatCode>"$"#,##0_);[Red]\("$"#,##0\)</c:formatCode>
                <c:ptCount val="3"/>
                <c:pt idx="0">
                  <c:v>38009.756523781332</c:v>
                </c:pt>
                <c:pt idx="1">
                  <c:v>117866.54298166721</c:v>
                </c:pt>
                <c:pt idx="2">
                  <c:v>27136.934754083923</c:v>
                </c:pt>
              </c:numCache>
            </c:numRef>
          </c:val>
          <c:extLst>
            <c:ext xmlns:c16="http://schemas.microsoft.com/office/drawing/2014/chart" uri="{C3380CC4-5D6E-409C-BE32-E72D297353CC}">
              <c16:uniqueId val="{00000006-5035-4017-B570-95BAF87E5FD7}"/>
            </c:ext>
          </c:extLst>
        </c:ser>
        <c: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8-5035-4017-B570-95BAF87E5FD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A-5035-4017-B570-95BAF87E5FD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C-5035-4017-B570-95BAF87E5FD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Results_Summary!$A$13:$A$15</c:f>
              <c:strCache>
                <c:ptCount val="3"/>
                <c:pt idx="0">
                  <c:v> Establishment </c:v>
                </c:pt>
                <c:pt idx="1">
                  <c:v> Inspections and maintenance </c:v>
                </c:pt>
                <c:pt idx="2">
                  <c:v> Net mortality </c:v>
                </c:pt>
              </c:strCache>
            </c:strRef>
          </c:cat>
          <c:val>
            <c:numRef>
              <c:f>Results_Summary!$C$13:$C$15</c:f>
              <c:numCache>
                <c:formatCode>0.0%</c:formatCode>
                <c:ptCount val="3"/>
                <c:pt idx="0">
                  <c:v>0.20768856786542225</c:v>
                </c:pt>
                <c:pt idx="1">
                  <c:v>0.64403289444368683</c:v>
                </c:pt>
                <c:pt idx="2">
                  <c:v>0.14827853769089086</c:v>
                </c:pt>
              </c:numCache>
            </c:numRef>
          </c:val>
          <c:extLst xmlns:c15="http://schemas.microsoft.com/office/drawing/2012/chart">
            <c:ext xmlns:c16="http://schemas.microsoft.com/office/drawing/2014/chart" uri="{C3380CC4-5D6E-409C-BE32-E72D297353CC}">
              <c16:uniqueId val="{0000000D-5035-4017-B570-95BAF87E5FD7}"/>
            </c:ext>
          </c:extLst>
        </c:ser>
        <c:dLbls>
          <c:dLblPos val="inEnd"/>
          <c:showLegendKey val="0"/>
          <c:showVal val="0"/>
          <c:showCatName val="0"/>
          <c:showSerName val="0"/>
          <c:showPercent val="1"/>
          <c:showBubbleSize val="0"/>
          <c:showLeaderLines val="0"/>
        </c:dLbls>
        <c:firstSliceAng val="0"/>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lang="en-AU" sz="1400" b="0" i="0" u="none" strike="noStrike" kern="1200" spc="0" baseline="0">
                <a:solidFill>
                  <a:sysClr val="windowText" lastClr="000000">
                    <a:lumMod val="65000"/>
                    <a:lumOff val="35000"/>
                  </a:sysClr>
                </a:solidFill>
                <a:latin typeface="+mn-lt"/>
                <a:ea typeface="+mn-ea"/>
                <a:cs typeface="+mn-cs"/>
              </a:defRPr>
            </a:pPr>
            <a:r>
              <a:rPr lang="en-AU" sz="1400" b="0" i="0" u="none" strike="noStrike" kern="1200" spc="0" baseline="0">
                <a:solidFill>
                  <a:sysClr val="windowText" lastClr="000000">
                    <a:lumMod val="65000"/>
                    <a:lumOff val="35000"/>
                  </a:sysClr>
                </a:solidFill>
                <a:latin typeface="+mn-lt"/>
                <a:ea typeface="+mn-ea"/>
                <a:cs typeface="+mn-cs"/>
              </a:rPr>
              <a:t>Option 3 - Life cycle costs</a:t>
            </a:r>
          </a:p>
        </c:rich>
      </c:tx>
      <c:overlay val="0"/>
      <c:spPr>
        <a:noFill/>
        <a:ln>
          <a:noFill/>
        </a:ln>
        <a:effectLst/>
      </c:spPr>
    </c:title>
    <c:autoTitleDeleted val="0"/>
    <c:plotArea>
      <c:layout>
        <c:manualLayout>
          <c:layoutTarget val="inner"/>
          <c:xMode val="edge"/>
          <c:yMode val="edge"/>
          <c:x val="0.24501280865071723"/>
          <c:y val="0.25776286160951195"/>
          <c:w val="0.55793601339400911"/>
          <c:h val="0.63568119558825631"/>
        </c:manualLayout>
      </c:layout>
      <c:pieChart>
        <c:varyColors val="1"/>
        <c:ser>
          <c:idx val="0"/>
          <c:order val="0"/>
          <c:spPr>
            <a:ln w="25400">
              <a:solidFill>
                <a:schemeClr val="bg2">
                  <a:alpha val="99000"/>
                </a:schemeClr>
              </a:solidFill>
            </a:ln>
          </c:spPr>
          <c:dLbls>
            <c:dLbl>
              <c:idx val="0"/>
              <c:layout>
                <c:manualLayout>
                  <c:x val="1.5522380969347157E-2"/>
                  <c:y val="6.40817078057814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E74-448B-95F3-F7E177683D96}"/>
                </c:ext>
              </c:extLst>
            </c:dLbl>
            <c:dLbl>
              <c:idx val="1"/>
              <c:layout>
                <c:manualLayout>
                  <c:x val="-4.4664029141762276E-2"/>
                  <c:y val="-3.66748917853811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E74-448B-95F3-F7E177683D96}"/>
                </c:ext>
              </c:extLst>
            </c:dLbl>
            <c:dLbl>
              <c:idx val="2"/>
              <c:layout>
                <c:manualLayout>
                  <c:x val="-5.9724771728978637E-2"/>
                  <c:y val="-1.48312524614779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E74-448B-95F3-F7E177683D96}"/>
                </c:ext>
              </c:extLst>
            </c:dLbl>
            <c:spPr>
              <a:solidFill>
                <a:sysClr val="window" lastClr="FFFFFF"/>
              </a:solidFill>
              <a:ln>
                <a:solidFill>
                  <a:sysClr val="windowText" lastClr="000000">
                    <a:lumMod val="25000"/>
                    <a:lumOff val="75000"/>
                  </a:sysClr>
                </a:solidFill>
              </a:ln>
              <a:effectLst/>
            </c:spPr>
            <c:txPr>
              <a:bodyPr rot="0" vert="horz"/>
              <a:lstStyle/>
              <a:p>
                <a:pPr>
                  <a:defRPr/>
                </a:pPr>
                <a:endParaRPr lang="en-US"/>
              </a:p>
            </c:txPr>
            <c:dLblPos val="bestFit"/>
            <c:showLegendKey val="0"/>
            <c:showVal val="1"/>
            <c:showCatName val="1"/>
            <c:showSerName val="0"/>
            <c:showPercent val="0"/>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c15:spPr>
              </c:ext>
            </c:extLst>
          </c:dLbls>
          <c:cat>
            <c:strRef>
              <c:f>Results_Summary!$I$13:$I$15</c:f>
              <c:strCache>
                <c:ptCount val="3"/>
                <c:pt idx="0">
                  <c:v>Establishment</c:v>
                </c:pt>
                <c:pt idx="1">
                  <c:v>Inspections and maintenance</c:v>
                </c:pt>
                <c:pt idx="2">
                  <c:v>Net mortality</c:v>
                </c:pt>
              </c:strCache>
            </c:strRef>
          </c:cat>
          <c:val>
            <c:numRef>
              <c:f>Results_Summary!$J$13:$J$15</c:f>
              <c:numCache>
                <c:formatCode>"$"#,##0_);[Red]\("$"#,##0\)</c:formatCode>
                <c:ptCount val="3"/>
                <c:pt idx="0">
                  <c:v>21340</c:v>
                </c:pt>
                <c:pt idx="1">
                  <c:v>8176.7330202385292</c:v>
                </c:pt>
                <c:pt idx="2">
                  <c:v>2080.7172807017541</c:v>
                </c:pt>
              </c:numCache>
            </c:numRef>
          </c:val>
          <c:extLst>
            <c:ext xmlns:c16="http://schemas.microsoft.com/office/drawing/2014/chart" uri="{C3380CC4-5D6E-409C-BE32-E72D297353CC}">
              <c16:uniqueId val="{00000006-4E74-448B-95F3-F7E177683D96}"/>
            </c:ext>
          </c:extLst>
        </c:ser>
        <c:ser>
          <c:idx val="1"/>
          <c:order val="1"/>
          <c:dLbls>
            <c:spPr>
              <a:noFill/>
              <a:ln>
                <a:noFill/>
              </a:ln>
              <a:effectLst/>
            </c:sp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Results_Summary!$I$13:$I$15</c:f>
              <c:strCache>
                <c:ptCount val="3"/>
                <c:pt idx="0">
                  <c:v>Establishment</c:v>
                </c:pt>
                <c:pt idx="1">
                  <c:v>Inspections and maintenance</c:v>
                </c:pt>
                <c:pt idx="2">
                  <c:v>Net mortality</c:v>
                </c:pt>
              </c:strCache>
            </c:strRef>
          </c:cat>
          <c:val>
            <c:numRef>
              <c:f>Results_Summary!$K$13:$K$15</c:f>
              <c:numCache>
                <c:formatCode>0.0%</c:formatCode>
                <c:ptCount val="3"/>
                <c:pt idx="0">
                  <c:v>0.6753709491352522</c:v>
                </c:pt>
                <c:pt idx="1">
                  <c:v>0.25877825401612242</c:v>
                </c:pt>
                <c:pt idx="2">
                  <c:v>6.585079684862534E-2</c:v>
                </c:pt>
              </c:numCache>
            </c:numRef>
          </c:val>
          <c:extLst>
            <c:ext xmlns:c16="http://schemas.microsoft.com/office/drawing/2014/chart" uri="{C3380CC4-5D6E-409C-BE32-E72D297353CC}">
              <c16:uniqueId val="{0000000D-4E74-448B-95F3-F7E177683D96}"/>
            </c:ext>
          </c:extLst>
        </c:ser>
        <c:dLbls>
          <c:dLblPos val="bestFit"/>
          <c:showLegendKey val="0"/>
          <c:showVal val="1"/>
          <c:showCatName val="0"/>
          <c:showSerName val="0"/>
          <c:showPercent val="0"/>
          <c:showBubbleSize val="0"/>
          <c:showLeaderLines val="0"/>
        </c:dLbls>
        <c:firstSliceAng val="0"/>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Model_1!$A$54</c:f>
          <c:strCache>
            <c:ptCount val="1"/>
            <c:pt idx="0">
              <c:v>Option 1 - Cashflow (adjusted for inflation)</c:v>
            </c:pt>
          </c:strCache>
        </c:strRef>
      </c:tx>
      <c:layout>
        <c:manualLayout>
          <c:xMode val="edge"/>
          <c:yMode val="edge"/>
          <c:x val="0.31524167171411266"/>
          <c:y val="1.21028744326777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Model_1!$A$57</c:f>
              <c:strCache>
                <c:ptCount val="1"/>
                <c:pt idx="0">
                  <c:v> Concrete cutting ($) </c:v>
                </c:pt>
              </c:strCache>
            </c:strRef>
          </c:tx>
          <c:spPr>
            <a:solidFill>
              <a:schemeClr val="accent1"/>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Model_1!$B$57:$AY$57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0-2FF9-48FC-B8FE-744E82B20E8D}"/>
            </c:ext>
          </c:extLst>
        </c:ser>
        <c:ser>
          <c:idx val="1"/>
          <c:order val="1"/>
          <c:tx>
            <c:strRef>
              <c:f>Model_1!$A$58</c:f>
              <c:strCache>
                <c:ptCount val="1"/>
                <c:pt idx="0">
                  <c:v> Supply ($) </c:v>
                </c:pt>
              </c:strCache>
            </c:strRef>
          </c:tx>
          <c:spPr>
            <a:solidFill>
              <a:schemeClr val="accent2"/>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Model_1!$B$58:$AY$58</c:f>
              <c:numCache>
                <c:formatCode>_-"$"* #,##0_-;\-"$"* #,##0_-;_-"$"* "-"??_-;_-@_-</c:formatCode>
                <c:ptCount val="50"/>
                <c:pt idx="0">
                  <c:v>18687.190075840001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1-2FF9-48FC-B8FE-744E82B20E8D}"/>
            </c:ext>
          </c:extLst>
        </c:ser>
        <c:ser>
          <c:idx val="2"/>
          <c:order val="2"/>
          <c:tx>
            <c:strRef>
              <c:f>Model_1!$A$59</c:f>
              <c:strCache>
                <c:ptCount val="1"/>
                <c:pt idx="0">
                  <c:v> Tree installation ($) </c:v>
                </c:pt>
              </c:strCache>
            </c:strRef>
          </c:tx>
          <c:spPr>
            <a:solidFill>
              <a:schemeClr val="accent3"/>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Model_1!$B$59:$AY$59</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2FF9-48FC-B8FE-744E82B20E8D}"/>
            </c:ext>
          </c:extLst>
        </c:ser>
        <c:ser>
          <c:idx val="3"/>
          <c:order val="3"/>
          <c:tx>
            <c:strRef>
              <c:f>Model_1!$A$60</c:f>
              <c:strCache>
                <c:ptCount val="1"/>
                <c:pt idx="0">
                  <c:v> Unbundled installation </c:v>
                </c:pt>
              </c:strCache>
            </c:strRef>
          </c:tx>
          <c:spPr>
            <a:solidFill>
              <a:schemeClr val="accent4"/>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Model_1!$B$60:$AY$60</c:f>
              <c:numCache>
                <c:formatCode>_-"$"* #,##0_-;\-"$"* #,##0_-;_-"$"* "-"??_-;_-@_-</c:formatCode>
                <c:ptCount val="50"/>
                <c:pt idx="0">
                  <c:v>2433.3333333333335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3-2FF9-48FC-B8FE-744E82B20E8D}"/>
            </c:ext>
          </c:extLst>
        </c:ser>
        <c:ser>
          <c:idx val="4"/>
          <c:order val="4"/>
          <c:tx>
            <c:strRef>
              <c:f>Model_1!$A$61</c:f>
              <c:strCache>
                <c:ptCount val="1"/>
                <c:pt idx="0">
                  <c:v> Mulch cost ($/m3) </c:v>
                </c:pt>
              </c:strCache>
            </c:strRef>
          </c:tx>
          <c:spPr>
            <a:solidFill>
              <a:schemeClr val="accent5"/>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Model_1!$B$61:$AY$61</c:f>
              <c:numCache>
                <c:formatCode>_-"$"* #,##0_-;\-"$"* #,##0_-;_-"$"* "-"??_-;_-@_-</c:formatCode>
                <c:ptCount val="50"/>
                <c:pt idx="0">
                  <c:v>976.83311460799996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4-2FF9-48FC-B8FE-744E82B20E8D}"/>
            </c:ext>
          </c:extLst>
        </c:ser>
        <c:ser>
          <c:idx val="5"/>
          <c:order val="5"/>
          <c:tx>
            <c:strRef>
              <c:f>Model_1!$A$62</c:f>
              <c:strCache>
                <c:ptCount val="1"/>
                <c:pt idx="0">
                  <c:v> Stakes and ties ($) </c:v>
                </c:pt>
              </c:strCache>
            </c:strRef>
          </c:tx>
          <c:spPr>
            <a:solidFill>
              <a:schemeClr val="accent6"/>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Model_1!$B$62:$AY$62</c:f>
              <c:numCache>
                <c:formatCode>_-"$"* #,##0_-;\-"$"* #,##0_-;_-"$"* "-"??_-;_-@_-</c:formatCode>
                <c:ptCount val="50"/>
                <c:pt idx="0">
                  <c:v>12480.000000000002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5-2FF9-48FC-B8FE-744E82B20E8D}"/>
            </c:ext>
          </c:extLst>
        </c:ser>
        <c:ser>
          <c:idx val="6"/>
          <c:order val="6"/>
          <c:tx>
            <c:strRef>
              <c:f>Model_1!$A$63</c:f>
              <c:strCache>
                <c:ptCount val="1"/>
                <c:pt idx="0">
                  <c:v> Tree removal </c:v>
                </c:pt>
              </c:strCache>
            </c:strRef>
          </c:tx>
          <c:spPr>
            <a:solidFill>
              <a:schemeClr val="accent1">
                <a:lumMod val="6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Model_1!$B$63:$AY$63</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6-2FF9-48FC-B8FE-744E82B20E8D}"/>
            </c:ext>
          </c:extLst>
        </c:ser>
        <c:ser>
          <c:idx val="7"/>
          <c:order val="7"/>
          <c:tx>
            <c:strRef>
              <c:f>Model_1!$A$64</c:f>
              <c:strCache>
                <c:ptCount val="1"/>
                <c:pt idx="0">
                  <c:v> Soil cost ($/m3) </c:v>
                </c:pt>
              </c:strCache>
            </c:strRef>
          </c:tx>
          <c:spPr>
            <a:solidFill>
              <a:schemeClr val="accent2">
                <a:lumMod val="6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Model_1!$B$64:$AY$64</c:f>
              <c:numCache>
                <c:formatCode>_-"$"* #,##0_-;\-"$"* #,##0_-;_-"$"* "-"??_-;_-@_-</c:formatCode>
                <c:ptCount val="50"/>
                <c:pt idx="0">
                  <c:v>3182.4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7-2FF9-48FC-B8FE-744E82B20E8D}"/>
            </c:ext>
          </c:extLst>
        </c:ser>
        <c:ser>
          <c:idx val="8"/>
          <c:order val="8"/>
          <c:tx>
            <c:strRef>
              <c:f>Model_1!$A$65</c:f>
              <c:strCache>
                <c:ptCount val="1"/>
                <c:pt idx="0">
                  <c:v> Tree protection fencing ($) </c:v>
                </c:pt>
              </c:strCache>
            </c:strRef>
          </c:tx>
          <c:spPr>
            <a:solidFill>
              <a:schemeClr val="accent3">
                <a:lumMod val="6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Model_1!$B$65:$AY$65</c:f>
              <c:numCache>
                <c:formatCode>_-"$"* #,##0_-;\-"$"* #,##0_-;_-"$"* "-"??_-;_-@_-</c:formatCode>
                <c:ptCount val="50"/>
                <c:pt idx="0">
                  <c:v>250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8-2FF9-48FC-B8FE-744E82B20E8D}"/>
            </c:ext>
          </c:extLst>
        </c:ser>
        <c:ser>
          <c:idx val="9"/>
          <c:order val="9"/>
          <c:tx>
            <c:strRef>
              <c:f>Model_1!$A$66</c:f>
              <c:strCache>
                <c:ptCount val="1"/>
                <c:pt idx="0">
                  <c:v> Traffic control cost ($) </c:v>
                </c:pt>
              </c:strCache>
            </c:strRef>
          </c:tx>
          <c:spPr>
            <a:solidFill>
              <a:schemeClr val="accent4">
                <a:lumMod val="6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Model_1!$B$66:$AY$66</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9-2FF9-48FC-B8FE-744E82B20E8D}"/>
            </c:ext>
          </c:extLst>
        </c:ser>
        <c:ser>
          <c:idx val="10"/>
          <c:order val="10"/>
          <c:tx>
            <c:strRef>
              <c:f>Model_1!$A$67</c:f>
              <c:strCache>
                <c:ptCount val="1"/>
                <c:pt idx="0">
                  <c:v> Guard rails </c:v>
                </c:pt>
              </c:strCache>
            </c:strRef>
          </c:tx>
          <c:spPr>
            <a:solidFill>
              <a:srgbClr val="92D050"/>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Model_1!$B$67:$AY$67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A-2FF9-48FC-B8FE-744E82B20E8D}"/>
            </c:ext>
          </c:extLst>
        </c:ser>
        <c:ser>
          <c:idx val="11"/>
          <c:order val="11"/>
          <c:tx>
            <c:strRef>
              <c:f>Model_1!$A$68</c:f>
              <c:strCache>
                <c:ptCount val="1"/>
                <c:pt idx="0">
                  <c:v> StrataVault or Strata cells ($) </c:v>
                </c:pt>
              </c:strCache>
            </c:strRef>
          </c:tx>
          <c:spPr>
            <a:solidFill>
              <a:schemeClr val="accent6">
                <a:lumMod val="6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Model_1!$B$68:$AY$68</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B-2FF9-48FC-B8FE-744E82B20E8D}"/>
            </c:ext>
          </c:extLst>
        </c:ser>
        <c:ser>
          <c:idx val="12"/>
          <c:order val="12"/>
          <c:tx>
            <c:strRef>
              <c:f>Model_1!$A$69</c:f>
              <c:strCache>
                <c:ptCount val="1"/>
                <c:pt idx="0">
                  <c:v> Watering costs </c:v>
                </c:pt>
              </c:strCache>
            </c:strRef>
          </c:tx>
          <c:spPr>
            <a:solidFill>
              <a:schemeClr val="accent1">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Model_1!$B$69:$AY$69</c:f>
              <c:numCache>
                <c:formatCode>_-"$"* #,##0_-;\-"$"* #,##0_-;_-"$"* "-"??_-;_-@_-</c:formatCode>
                <c:ptCount val="50"/>
                <c:pt idx="0">
                  <c:v>4800</c:v>
                </c:pt>
                <c:pt idx="1">
                  <c:v>1639.9999999999998</c:v>
                </c:pt>
                <c:pt idx="2">
                  <c:v>1680.9999999999998</c:v>
                </c:pt>
                <c:pt idx="3">
                  <c:v>1723.0249999999999</c:v>
                </c:pt>
                <c:pt idx="4">
                  <c:v>1766.1006249999996</c:v>
                </c:pt>
                <c:pt idx="5">
                  <c:v>1810.2531406249996</c:v>
                </c:pt>
                <c:pt idx="6">
                  <c:v>1855.5094691406243</c:v>
                </c:pt>
                <c:pt idx="7">
                  <c:v>1901.89720586914</c:v>
                </c:pt>
                <c:pt idx="8">
                  <c:v>1949.4446360158684</c:v>
                </c:pt>
                <c:pt idx="9">
                  <c:v>1998.1807519162646</c:v>
                </c:pt>
                <c:pt idx="10">
                  <c:v>2048.1352707141714</c:v>
                </c:pt>
                <c:pt idx="11">
                  <c:v>2099.3386524820257</c:v>
                </c:pt>
                <c:pt idx="12">
                  <c:v>2151.8221187940762</c:v>
                </c:pt>
                <c:pt idx="13">
                  <c:v>2205.6176717639278</c:v>
                </c:pt>
                <c:pt idx="14">
                  <c:v>2260.7581135580258</c:v>
                </c:pt>
                <c:pt idx="15">
                  <c:v>2317.2770663969768</c:v>
                </c:pt>
                <c:pt idx="16">
                  <c:v>2375.2089930569009</c:v>
                </c:pt>
                <c:pt idx="17">
                  <c:v>2434.5892178833233</c:v>
                </c:pt>
                <c:pt idx="18">
                  <c:v>2495.4539483304065</c:v>
                </c:pt>
                <c:pt idx="19">
                  <c:v>2557.8402970386664</c:v>
                </c:pt>
                <c:pt idx="20">
                  <c:v>2621.7863044646328</c:v>
                </c:pt>
                <c:pt idx="21">
                  <c:v>2687.3309620762484</c:v>
                </c:pt>
                <c:pt idx="22">
                  <c:v>2754.5142361281546</c:v>
                </c:pt>
                <c:pt idx="23">
                  <c:v>2823.3770920313586</c:v>
                </c:pt>
                <c:pt idx="24">
                  <c:v>2893.9615193321424</c:v>
                </c:pt>
                <c:pt idx="25">
                  <c:v>2966.3105573154453</c:v>
                </c:pt>
                <c:pt idx="26">
                  <c:v>3040.4683212483314</c:v>
                </c:pt>
                <c:pt idx="27">
                  <c:v>3116.4800292795394</c:v>
                </c:pt>
                <c:pt idx="28">
                  <c:v>3194.3920300115278</c:v>
                </c:pt>
                <c:pt idx="29">
                  <c:v>3274.2518307618161</c:v>
                </c:pt>
                <c:pt idx="30">
                  <c:v>3356.1081265308608</c:v>
                </c:pt>
                <c:pt idx="31">
                  <c:v>3440.0108296941335</c:v>
                </c:pt>
                <c:pt idx="32">
                  <c:v>3526.0111004364858</c:v>
                </c:pt>
                <c:pt idx="33">
                  <c:v>3614.1613779473978</c:v>
                </c:pt>
                <c:pt idx="34">
                  <c:v>3704.5154123960829</c:v>
                </c:pt>
                <c:pt idx="35">
                  <c:v>3797.1282977059846</c:v>
                </c:pt>
                <c:pt idx="36">
                  <c:v>3892.0565051486342</c:v>
                </c:pt>
                <c:pt idx="37">
                  <c:v>3989.3579177773495</c:v>
                </c:pt>
                <c:pt idx="38">
                  <c:v>4089.0918657217826</c:v>
                </c:pt>
                <c:pt idx="39">
                  <c:v>4191.3191623648272</c:v>
                </c:pt>
                <c:pt idx="40">
                  <c:v>4296.1021414239476</c:v>
                </c:pt>
                <c:pt idx="41">
                  <c:v>4403.5046949595462</c:v>
                </c:pt>
                <c:pt idx="42">
                  <c:v>4513.5923123335342</c:v>
                </c:pt>
                <c:pt idx="43">
                  <c:v>4626.4321201418734</c:v>
                </c:pt>
                <c:pt idx="44">
                  <c:v>4742.0929231454193</c:v>
                </c:pt>
                <c:pt idx="45">
                  <c:v>4860.645246224055</c:v>
                </c:pt>
                <c:pt idx="46">
                  <c:v>4982.1613773796553</c:v>
                </c:pt>
                <c:pt idx="47">
                  <c:v>5106.715411814147</c:v>
                </c:pt>
                <c:pt idx="48">
                  <c:v>5234.3832971095007</c:v>
                </c:pt>
                <c:pt idx="49">
                  <c:v>5365.2428795372371</c:v>
                </c:pt>
              </c:numCache>
            </c:numRef>
          </c:val>
          <c:extLst>
            <c:ext xmlns:c16="http://schemas.microsoft.com/office/drawing/2014/chart" uri="{C3380CC4-5D6E-409C-BE32-E72D297353CC}">
              <c16:uniqueId val="{0000000C-2FF9-48FC-B8FE-744E82B20E8D}"/>
            </c:ext>
          </c:extLst>
        </c:ser>
        <c:ser>
          <c:idx val="13"/>
          <c:order val="13"/>
          <c:tx>
            <c:strRef>
              <c:f>Model_1!$A$70</c:f>
              <c:strCache>
                <c:ptCount val="1"/>
                <c:pt idx="0">
                  <c:v> Maintenance </c:v>
                </c:pt>
              </c:strCache>
            </c:strRef>
          </c:tx>
          <c:spPr>
            <a:solidFill>
              <a:schemeClr val="accent2">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Model_1!$B$70:$AY$70</c:f>
              <c:numCache>
                <c:formatCode>_-"$"* #,##0_-;\-"$"* #,##0_-;_-"$"* "-"??_-;_-@_-</c:formatCode>
                <c:ptCount val="50"/>
                <c:pt idx="0">
                  <c:v>23642.666666666668</c:v>
                </c:pt>
                <c:pt idx="1">
                  <c:v>6396</c:v>
                </c:pt>
                <c:pt idx="2">
                  <c:v>4916.9249999999993</c:v>
                </c:pt>
                <c:pt idx="3">
                  <c:v>5039.8481249999995</c:v>
                </c:pt>
                <c:pt idx="4">
                  <c:v>5165.8443281249993</c:v>
                </c:pt>
                <c:pt idx="5">
                  <c:v>5294.990436328123</c:v>
                </c:pt>
                <c:pt idx="6">
                  <c:v>5427.3651972363259</c:v>
                </c:pt>
                <c:pt idx="7">
                  <c:v>5563.0493271672349</c:v>
                </c:pt>
                <c:pt idx="8">
                  <c:v>5702.1255603464151</c:v>
                </c:pt>
                <c:pt idx="9">
                  <c:v>5844.6786993550741</c:v>
                </c:pt>
                <c:pt idx="10">
                  <c:v>5990.7956668389515</c:v>
                </c:pt>
                <c:pt idx="11">
                  <c:v>6140.5655585099248</c:v>
                </c:pt>
                <c:pt idx="12">
                  <c:v>6294.0796974726727</c:v>
                </c:pt>
                <c:pt idx="13">
                  <c:v>6451.4316899094893</c:v>
                </c:pt>
                <c:pt idx="14">
                  <c:v>6612.7174821572253</c:v>
                </c:pt>
                <c:pt idx="15">
                  <c:v>6778.0354192111572</c:v>
                </c:pt>
                <c:pt idx="16">
                  <c:v>6947.4863046914352</c:v>
                </c:pt>
                <c:pt idx="17">
                  <c:v>7121.1734623087204</c:v>
                </c:pt>
                <c:pt idx="18">
                  <c:v>7299.2027988664386</c:v>
                </c:pt>
                <c:pt idx="19">
                  <c:v>7481.6828688381001</c:v>
                </c:pt>
                <c:pt idx="20">
                  <c:v>7668.724940559051</c:v>
                </c:pt>
                <c:pt idx="21">
                  <c:v>7860.4430640730261</c:v>
                </c:pt>
                <c:pt idx="22">
                  <c:v>8056.9541406748522</c:v>
                </c:pt>
                <c:pt idx="23">
                  <c:v>8258.3779941917237</c:v>
                </c:pt>
                <c:pt idx="24">
                  <c:v>8464.8374440465159</c:v>
                </c:pt>
                <c:pt idx="25">
                  <c:v>8676.4583801476783</c:v>
                </c:pt>
                <c:pt idx="26">
                  <c:v>8893.3698396513682</c:v>
                </c:pt>
                <c:pt idx="27">
                  <c:v>9115.7040856426538</c:v>
                </c:pt>
                <c:pt idx="28">
                  <c:v>9343.5966877837182</c:v>
                </c:pt>
                <c:pt idx="29">
                  <c:v>9577.186604978313</c:v>
                </c:pt>
                <c:pt idx="30">
                  <c:v>9816.6162701027679</c:v>
                </c:pt>
                <c:pt idx="31">
                  <c:v>10062.03167685534</c:v>
                </c:pt>
                <c:pt idx="32">
                  <c:v>10313.582468776722</c:v>
                </c:pt>
                <c:pt idx="33">
                  <c:v>10571.422030496138</c:v>
                </c:pt>
                <c:pt idx="34">
                  <c:v>10835.707581258543</c:v>
                </c:pt>
                <c:pt idx="35">
                  <c:v>11106.600270790004</c:v>
                </c:pt>
                <c:pt idx="36">
                  <c:v>11384.265277559754</c:v>
                </c:pt>
                <c:pt idx="37">
                  <c:v>11668.871909498748</c:v>
                </c:pt>
                <c:pt idx="38">
                  <c:v>11960.593707236214</c:v>
                </c:pt>
                <c:pt idx="39">
                  <c:v>12259.60854991712</c:v>
                </c:pt>
                <c:pt idx="40">
                  <c:v>12566.098763665046</c:v>
                </c:pt>
                <c:pt idx="41">
                  <c:v>12880.251232756673</c:v>
                </c:pt>
                <c:pt idx="42">
                  <c:v>13202.257513575589</c:v>
                </c:pt>
                <c:pt idx="43">
                  <c:v>13532.313951414979</c:v>
                </c:pt>
                <c:pt idx="44">
                  <c:v>13870.62180020035</c:v>
                </c:pt>
                <c:pt idx="45">
                  <c:v>14217.387345205359</c:v>
                </c:pt>
                <c:pt idx="46">
                  <c:v>14572.822028835491</c:v>
                </c:pt>
                <c:pt idx="47">
                  <c:v>14937.142579556381</c:v>
                </c:pt>
                <c:pt idx="48">
                  <c:v>15310.571144045289</c:v>
                </c:pt>
                <c:pt idx="49">
                  <c:v>15693.33542264642</c:v>
                </c:pt>
              </c:numCache>
            </c:numRef>
          </c:val>
          <c:extLst>
            <c:ext xmlns:c16="http://schemas.microsoft.com/office/drawing/2014/chart" uri="{C3380CC4-5D6E-409C-BE32-E72D297353CC}">
              <c16:uniqueId val="{00000000-FAD2-42DD-9DAD-BB95F0073522}"/>
            </c:ext>
          </c:extLst>
        </c:ser>
        <c:ser>
          <c:idx val="14"/>
          <c:order val="14"/>
          <c:tx>
            <c:strRef>
              <c:f>Model_1!$A$71</c:f>
              <c:strCache>
                <c:ptCount val="1"/>
                <c:pt idx="0">
                  <c:v> Arborist tree health inspection ($) </c:v>
                </c:pt>
              </c:strCache>
            </c:strRef>
          </c:tx>
          <c:spPr>
            <a:solidFill>
              <a:schemeClr val="accent3">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Model_1!$B$71:$AY$71</c:f>
              <c:numCache>
                <c:formatCode>_-"$"* #,##0_-;\-"$"* #,##0_-;_-"$"* "-"??_-;_-@_-</c:formatCode>
                <c:ptCount val="50"/>
                <c:pt idx="0">
                  <c:v>500</c:v>
                </c:pt>
                <c:pt idx="1">
                  <c:v>512.5</c:v>
                </c:pt>
                <c:pt idx="2">
                  <c:v>525.3125</c:v>
                </c:pt>
                <c:pt idx="3">
                  <c:v>538.44531249999989</c:v>
                </c:pt>
                <c:pt idx="4">
                  <c:v>551.90644531249984</c:v>
                </c:pt>
                <c:pt idx="5">
                  <c:v>565.70410644531228</c:v>
                </c:pt>
                <c:pt idx="6">
                  <c:v>579.84670910644513</c:v>
                </c:pt>
                <c:pt idx="7">
                  <c:v>594.34287683410628</c:v>
                </c:pt>
                <c:pt idx="8">
                  <c:v>609.20144875495885</c:v>
                </c:pt>
                <c:pt idx="9">
                  <c:v>624.43148497383277</c:v>
                </c:pt>
                <c:pt idx="10">
                  <c:v>640.0422720981785</c:v>
                </c:pt>
                <c:pt idx="11">
                  <c:v>656.04332890063301</c:v>
                </c:pt>
                <c:pt idx="12">
                  <c:v>672.44441212314871</c:v>
                </c:pt>
                <c:pt idx="13">
                  <c:v>689.25552242622746</c:v>
                </c:pt>
                <c:pt idx="14">
                  <c:v>706.48691048688306</c:v>
                </c:pt>
                <c:pt idx="15">
                  <c:v>724.14908324905525</c:v>
                </c:pt>
                <c:pt idx="16">
                  <c:v>742.25281033028159</c:v>
                </c:pt>
                <c:pt idx="17">
                  <c:v>760.80913058853855</c:v>
                </c:pt>
                <c:pt idx="18">
                  <c:v>779.82935885325196</c:v>
                </c:pt>
                <c:pt idx="19">
                  <c:v>799.32509282458329</c:v>
                </c:pt>
                <c:pt idx="20">
                  <c:v>819.30822014519777</c:v>
                </c:pt>
                <c:pt idx="21">
                  <c:v>839.79092564882762</c:v>
                </c:pt>
                <c:pt idx="22">
                  <c:v>860.78569879004829</c:v>
                </c:pt>
                <c:pt idx="23">
                  <c:v>882.30534125979955</c:v>
                </c:pt>
                <c:pt idx="24">
                  <c:v>904.3629747912945</c:v>
                </c:pt>
                <c:pt idx="25">
                  <c:v>926.97204916107671</c:v>
                </c:pt>
                <c:pt idx="26">
                  <c:v>950.14635039010352</c:v>
                </c:pt>
                <c:pt idx="27">
                  <c:v>973.90000914985603</c:v>
                </c:pt>
                <c:pt idx="28">
                  <c:v>998.24750937860244</c:v>
                </c:pt>
                <c:pt idx="29">
                  <c:v>1023.2036971130676</c:v>
                </c:pt>
                <c:pt idx="30">
                  <c:v>1048.7837895408941</c:v>
                </c:pt>
                <c:pt idx="31">
                  <c:v>1075.0033842794167</c:v>
                </c:pt>
                <c:pt idx="32">
                  <c:v>1101.8784688864018</c:v>
                </c:pt>
                <c:pt idx="33">
                  <c:v>1129.4254306085618</c:v>
                </c:pt>
                <c:pt idx="34">
                  <c:v>1157.6610663737758</c:v>
                </c:pt>
                <c:pt idx="35">
                  <c:v>1186.60259303312</c:v>
                </c:pt>
                <c:pt idx="36">
                  <c:v>1216.2676578589483</c:v>
                </c:pt>
                <c:pt idx="37">
                  <c:v>1246.6743493054219</c:v>
                </c:pt>
                <c:pt idx="38">
                  <c:v>1277.8412080380569</c:v>
                </c:pt>
                <c:pt idx="39">
                  <c:v>1309.7872382390085</c:v>
                </c:pt>
                <c:pt idx="40">
                  <c:v>1342.5319191949836</c:v>
                </c:pt>
                <c:pt idx="41">
                  <c:v>1376.0952171748581</c:v>
                </c:pt>
                <c:pt idx="42">
                  <c:v>1410.4975976042294</c:v>
                </c:pt>
                <c:pt idx="43">
                  <c:v>1445.7600375443353</c:v>
                </c:pt>
                <c:pt idx="44">
                  <c:v>1481.9040384829434</c:v>
                </c:pt>
                <c:pt idx="45">
                  <c:v>1518.951639445017</c:v>
                </c:pt>
                <c:pt idx="46">
                  <c:v>1556.9254304311421</c:v>
                </c:pt>
                <c:pt idx="47">
                  <c:v>1595.848566191921</c:v>
                </c:pt>
                <c:pt idx="48">
                  <c:v>1635.7447803467189</c:v>
                </c:pt>
                <c:pt idx="49">
                  <c:v>1676.6383998553868</c:v>
                </c:pt>
              </c:numCache>
            </c:numRef>
          </c:val>
          <c:extLst>
            <c:ext xmlns:c16="http://schemas.microsoft.com/office/drawing/2014/chart" uri="{C3380CC4-5D6E-409C-BE32-E72D297353CC}">
              <c16:uniqueId val="{00000001-FAD2-42DD-9DAD-BB95F0073522}"/>
            </c:ext>
          </c:extLst>
        </c:ser>
        <c:ser>
          <c:idx val="15"/>
          <c:order val="15"/>
          <c:tx>
            <c:strRef>
              <c:f>Model_1!$A$72</c:f>
              <c:strCache>
                <c:ptCount val="1"/>
                <c:pt idx="0">
                  <c:v> Visual tree inspection ($) </c:v>
                </c:pt>
              </c:strCache>
            </c:strRef>
          </c:tx>
          <c:spPr>
            <a:solidFill>
              <a:schemeClr val="accent4">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Model_1!$B$72:$AY$72</c:f>
              <c:numCache>
                <c:formatCode>_-"$"* #,##0_-;\-"$"* #,##0_-;_-"$"* "-"??_-;_-@_-</c:formatCode>
                <c:ptCount val="50"/>
                <c:pt idx="0">
                  <c:v>300</c:v>
                </c:pt>
                <c:pt idx="1">
                  <c:v>307.5</c:v>
                </c:pt>
                <c:pt idx="2">
                  <c:v>315.1875</c:v>
                </c:pt>
                <c:pt idx="3">
                  <c:v>323.06718749999999</c:v>
                </c:pt>
                <c:pt idx="4">
                  <c:v>331.14386718749995</c:v>
                </c:pt>
                <c:pt idx="5">
                  <c:v>339.42246386718739</c:v>
                </c:pt>
                <c:pt idx="6">
                  <c:v>347.90802546386703</c:v>
                </c:pt>
                <c:pt idx="7">
                  <c:v>356.60572610046376</c:v>
                </c:pt>
                <c:pt idx="8">
                  <c:v>365.52086925297533</c:v>
                </c:pt>
                <c:pt idx="9">
                  <c:v>374.6588909842996</c:v>
                </c:pt>
                <c:pt idx="10">
                  <c:v>384.02536325890713</c:v>
                </c:pt>
                <c:pt idx="11">
                  <c:v>393.6259973403798</c:v>
                </c:pt>
                <c:pt idx="12">
                  <c:v>403.46664727388924</c:v>
                </c:pt>
                <c:pt idx="13">
                  <c:v>413.55331345573649</c:v>
                </c:pt>
                <c:pt idx="14">
                  <c:v>423.89214629212984</c:v>
                </c:pt>
                <c:pt idx="15">
                  <c:v>434.48944994943315</c:v>
                </c:pt>
                <c:pt idx="16">
                  <c:v>445.35168619816892</c:v>
                </c:pt>
                <c:pt idx="17">
                  <c:v>456.48547835312309</c:v>
                </c:pt>
                <c:pt idx="18">
                  <c:v>467.8976153119512</c:v>
                </c:pt>
                <c:pt idx="19">
                  <c:v>479.59505569474999</c:v>
                </c:pt>
                <c:pt idx="20">
                  <c:v>491.58493208711866</c:v>
                </c:pt>
                <c:pt idx="21">
                  <c:v>503.87455538929657</c:v>
                </c:pt>
                <c:pt idx="22">
                  <c:v>516.47141927402902</c:v>
                </c:pt>
                <c:pt idx="23">
                  <c:v>529.38320475587977</c:v>
                </c:pt>
                <c:pt idx="24">
                  <c:v>542.6177848747767</c:v>
                </c:pt>
                <c:pt idx="25">
                  <c:v>556.18322949664605</c:v>
                </c:pt>
                <c:pt idx="26">
                  <c:v>570.08781023406209</c:v>
                </c:pt>
                <c:pt idx="27">
                  <c:v>584.34000548991366</c:v>
                </c:pt>
                <c:pt idx="28">
                  <c:v>598.94850562716147</c:v>
                </c:pt>
                <c:pt idx="29">
                  <c:v>613.92221826784055</c:v>
                </c:pt>
                <c:pt idx="30">
                  <c:v>629.27027372453642</c:v>
                </c:pt>
                <c:pt idx="31">
                  <c:v>645.00203056764997</c:v>
                </c:pt>
                <c:pt idx="32">
                  <c:v>661.12708133184105</c:v>
                </c:pt>
                <c:pt idx="33">
                  <c:v>677.65525836513712</c:v>
                </c:pt>
                <c:pt idx="34">
                  <c:v>694.59663982426548</c:v>
                </c:pt>
                <c:pt idx="35">
                  <c:v>711.96155581987205</c:v>
                </c:pt>
                <c:pt idx="36">
                  <c:v>729.76059471536894</c:v>
                </c:pt>
                <c:pt idx="37">
                  <c:v>748.004609583253</c:v>
                </c:pt>
                <c:pt idx="38">
                  <c:v>766.70472482283424</c:v>
                </c:pt>
                <c:pt idx="39">
                  <c:v>785.8723429434051</c:v>
                </c:pt>
                <c:pt idx="40">
                  <c:v>805.51915151699018</c:v>
                </c:pt>
                <c:pt idx="41">
                  <c:v>825.65713030491486</c:v>
                </c:pt>
                <c:pt idx="42">
                  <c:v>846.29855856253778</c:v>
                </c:pt>
                <c:pt idx="43">
                  <c:v>867.45602252660126</c:v>
                </c:pt>
                <c:pt idx="44">
                  <c:v>889.142423089766</c:v>
                </c:pt>
                <c:pt idx="45">
                  <c:v>911.37098366701025</c:v>
                </c:pt>
                <c:pt idx="46">
                  <c:v>934.15525825868531</c:v>
                </c:pt>
                <c:pt idx="47">
                  <c:v>957.50913971515263</c:v>
                </c:pt>
                <c:pt idx="48">
                  <c:v>981.44686820803133</c:v>
                </c:pt>
                <c:pt idx="49">
                  <c:v>1005.983039913232</c:v>
                </c:pt>
              </c:numCache>
            </c:numRef>
          </c:val>
          <c:extLst>
            <c:ext xmlns:c16="http://schemas.microsoft.com/office/drawing/2014/chart" uri="{C3380CC4-5D6E-409C-BE32-E72D297353CC}">
              <c16:uniqueId val="{00000002-FAD2-42DD-9DAD-BB95F0073522}"/>
            </c:ext>
          </c:extLst>
        </c:ser>
        <c:ser>
          <c:idx val="16"/>
          <c:order val="16"/>
          <c:tx>
            <c:strRef>
              <c:f>Model_1!$A$73</c:f>
              <c:strCache>
                <c:ptCount val="1"/>
                <c:pt idx="0">
                  <c:v> GIS mapping and inventory assessment ($) </c:v>
                </c:pt>
              </c:strCache>
            </c:strRef>
          </c:tx>
          <c:spPr>
            <a:solidFill>
              <a:schemeClr val="accent5">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Model_1!$B$73:$AY$73</c:f>
              <c:numCache>
                <c:formatCode>_-"$"* #,##0_-;\-"$"* #,##0_-;_-"$"* "-"??_-;_-@_-</c:formatCode>
                <c:ptCount val="50"/>
                <c:pt idx="0">
                  <c:v>240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3-FAD2-42DD-9DAD-BB95F0073522}"/>
            </c:ext>
          </c:extLst>
        </c:ser>
        <c:ser>
          <c:idx val="17"/>
          <c:order val="17"/>
          <c:tx>
            <c:strRef>
              <c:f>Model_1!$A$74</c:f>
              <c:strCache>
                <c:ptCount val="1"/>
                <c:pt idx="0">
                  <c:v> User specified cost item 1 ($/tree in Year 1 only) </c:v>
                </c:pt>
              </c:strCache>
            </c:strRef>
          </c:tx>
          <c:spPr>
            <a:solidFill>
              <a:schemeClr val="accent6">
                <a:lumMod val="80000"/>
                <a:lumOff val="2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Model_1!$B$74:$AY$74</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4-FAD2-42DD-9DAD-BB95F0073522}"/>
            </c:ext>
          </c:extLst>
        </c:ser>
        <c:ser>
          <c:idx val="18"/>
          <c:order val="18"/>
          <c:tx>
            <c:strRef>
              <c:f>Model_1!$A$75</c:f>
              <c:strCache>
                <c:ptCount val="1"/>
                <c:pt idx="0">
                  <c:v> User specified cost item 2 ($/tree per annum up to year 2) </c:v>
                </c:pt>
              </c:strCache>
            </c:strRef>
          </c:tx>
          <c:spPr>
            <a:solidFill>
              <a:schemeClr val="accent1">
                <a:lumMod val="8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Model_1!$B$75:$AY$75</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5-FAD2-42DD-9DAD-BB95F0073522}"/>
            </c:ext>
          </c:extLst>
        </c:ser>
        <c:ser>
          <c:idx val="19"/>
          <c:order val="19"/>
          <c:tx>
            <c:strRef>
              <c:f>Model_1!$A$76</c:f>
              <c:strCache>
                <c:ptCount val="1"/>
                <c:pt idx="0">
                  <c:v> User specified cost item 3 ($/tree per annum) </c:v>
                </c:pt>
              </c:strCache>
            </c:strRef>
          </c:tx>
          <c:spPr>
            <a:solidFill>
              <a:schemeClr val="accent2">
                <a:lumMod val="8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Model_1!$B$76:$AY$76</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6-FAD2-42DD-9DAD-BB95F0073522}"/>
            </c:ext>
          </c:extLst>
        </c:ser>
        <c:ser>
          <c:idx val="20"/>
          <c:order val="20"/>
          <c:tx>
            <c:strRef>
              <c:f>Model_1!$A$77</c:f>
              <c:strCache>
                <c:ptCount val="1"/>
                <c:pt idx="0">
                  <c:v> User specified cost item 4 ($/tree per annum) </c:v>
                </c:pt>
              </c:strCache>
            </c:strRef>
          </c:tx>
          <c:spPr>
            <a:solidFill>
              <a:schemeClr val="accent3">
                <a:lumMod val="8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Model_1!$B$77:$AY$77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7-FAD2-42DD-9DAD-BB95F0073522}"/>
            </c:ext>
          </c:extLst>
        </c:ser>
        <c:ser>
          <c:idx val="21"/>
          <c:order val="21"/>
          <c:tx>
            <c:strRef>
              <c:f>Model_1!$A$78</c:f>
              <c:strCache>
                <c:ptCount val="1"/>
                <c:pt idx="0">
                  <c:v> User specified cost item 5 ($/tree per annum) </c:v>
                </c:pt>
              </c:strCache>
            </c:strRef>
          </c:tx>
          <c:spPr>
            <a:solidFill>
              <a:schemeClr val="accent4">
                <a:lumMod val="80000"/>
              </a:schemeClr>
            </a:solidFill>
            <a:ln>
              <a:noFill/>
            </a:ln>
            <a:effectLst/>
          </c:spPr>
          <c:invertIfNegative val="0"/>
          <c:cat>
            <c:strRef>
              <c:f>Model_1!$B$56:$AY$56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Model_1!$B$78:$AY$78</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8-FAD2-42DD-9DAD-BB95F0073522}"/>
            </c:ext>
          </c:extLst>
        </c:ser>
        <c:dLbls>
          <c:showLegendKey val="0"/>
          <c:showVal val="0"/>
          <c:showCatName val="0"/>
          <c:showSerName val="0"/>
          <c:showPercent val="0"/>
          <c:showBubbleSize val="0"/>
        </c:dLbls>
        <c:gapWidth val="150"/>
        <c:overlap val="100"/>
        <c:axId val="1154820360"/>
        <c:axId val="1154820688"/>
      </c:barChart>
      <c:catAx>
        <c:axId val="1154820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688"/>
        <c:crosses val="autoZero"/>
        <c:auto val="1"/>
        <c:lblAlgn val="ctr"/>
        <c:lblOffset val="100"/>
        <c:noMultiLvlLbl val="0"/>
      </c:catAx>
      <c:valAx>
        <c:axId val="1154820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Cost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Model_2!$A$54</c:f>
          <c:strCache>
            <c:ptCount val="1"/>
            <c:pt idx="0">
              <c:v>Option 2 - Cashflow (adjusted for inflation)</c:v>
            </c:pt>
          </c:strCache>
        </c:strRef>
      </c:tx>
      <c:layout>
        <c:manualLayout>
          <c:xMode val="edge"/>
          <c:yMode val="edge"/>
          <c:x val="0.31524167171411266"/>
          <c:y val="1.21028744326777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Model_2!$A$57</c:f>
              <c:strCache>
                <c:ptCount val="1"/>
                <c:pt idx="0">
                  <c:v> Concrete cutting ($) </c:v>
                </c:pt>
              </c:strCache>
            </c:strRef>
          </c:tx>
          <c:spPr>
            <a:solidFill>
              <a:schemeClr val="accent1"/>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Model_2!$B$57:$AY$57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0-AA51-43F4-8579-98F7C458E54C}"/>
            </c:ext>
          </c:extLst>
        </c:ser>
        <c:ser>
          <c:idx val="1"/>
          <c:order val="1"/>
          <c:tx>
            <c:strRef>
              <c:f>Model_2!$A$58</c:f>
              <c:strCache>
                <c:ptCount val="1"/>
                <c:pt idx="0">
                  <c:v> Supply ($) </c:v>
                </c:pt>
              </c:strCache>
            </c:strRef>
          </c:tx>
          <c:spPr>
            <a:solidFill>
              <a:schemeClr val="accent2"/>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Model_2!$B$58:$AY$58</c:f>
              <c:numCache>
                <c:formatCode>_-"$"* #,##0_-;\-"$"* #,##0_-;_-"$"* "-"??_-;_-@_-</c:formatCode>
                <c:ptCount val="50"/>
                <c:pt idx="0">
                  <c:v>10511.544417659999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1-AA51-43F4-8579-98F7C458E54C}"/>
            </c:ext>
          </c:extLst>
        </c:ser>
        <c:ser>
          <c:idx val="2"/>
          <c:order val="2"/>
          <c:tx>
            <c:strRef>
              <c:f>Model_2!$A$59</c:f>
              <c:strCache>
                <c:ptCount val="1"/>
                <c:pt idx="0">
                  <c:v> Tree installation ($) </c:v>
                </c:pt>
              </c:strCache>
            </c:strRef>
          </c:tx>
          <c:spPr>
            <a:solidFill>
              <a:schemeClr val="accent3"/>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Model_2!$B$59:$AY$59</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AA51-43F4-8579-98F7C458E54C}"/>
            </c:ext>
          </c:extLst>
        </c:ser>
        <c:ser>
          <c:idx val="3"/>
          <c:order val="3"/>
          <c:tx>
            <c:strRef>
              <c:f>Model_2!$A$60</c:f>
              <c:strCache>
                <c:ptCount val="1"/>
                <c:pt idx="0">
                  <c:v> Unbundled installation </c:v>
                </c:pt>
              </c:strCache>
            </c:strRef>
          </c:tx>
          <c:spPr>
            <a:solidFill>
              <a:schemeClr val="accent4"/>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Model_2!$B$60:$AY$60</c:f>
              <c:numCache>
                <c:formatCode>_-"$"* #,##0_-;\-"$"* #,##0_-;_-"$"* "-"??_-;_-@_-</c:formatCode>
                <c:ptCount val="50"/>
                <c:pt idx="0">
                  <c:v>2433.3333333333335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3-AA51-43F4-8579-98F7C458E54C}"/>
            </c:ext>
          </c:extLst>
        </c:ser>
        <c:ser>
          <c:idx val="4"/>
          <c:order val="4"/>
          <c:tx>
            <c:strRef>
              <c:f>Model_2!$A$61</c:f>
              <c:strCache>
                <c:ptCount val="1"/>
                <c:pt idx="0">
                  <c:v> Mulch cost ($/m3) </c:v>
                </c:pt>
              </c:strCache>
            </c:strRef>
          </c:tx>
          <c:spPr>
            <a:solidFill>
              <a:schemeClr val="accent5"/>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Model_2!$B$61:$AY$61</c:f>
              <c:numCache>
                <c:formatCode>_-"$"* #,##0_-;\-"$"* #,##0_-;_-"$"* "-"??_-;_-@_-</c:formatCode>
                <c:ptCount val="50"/>
                <c:pt idx="0">
                  <c:v>549.46862696699998</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4-AA51-43F4-8579-98F7C458E54C}"/>
            </c:ext>
          </c:extLst>
        </c:ser>
        <c:ser>
          <c:idx val="5"/>
          <c:order val="5"/>
          <c:tx>
            <c:strRef>
              <c:f>Model_2!$A$62</c:f>
              <c:strCache>
                <c:ptCount val="1"/>
                <c:pt idx="0">
                  <c:v> Stakes and ties ($) </c:v>
                </c:pt>
              </c:strCache>
            </c:strRef>
          </c:tx>
          <c:spPr>
            <a:solidFill>
              <a:schemeClr val="accent6"/>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Model_2!$B$62:$AY$62</c:f>
              <c:numCache>
                <c:formatCode>_-"$"* #,##0_-;\-"$"* #,##0_-;_-"$"* "-"??_-;_-@_-</c:formatCode>
                <c:ptCount val="50"/>
                <c:pt idx="0">
                  <c:v>7019.9999999999991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5-AA51-43F4-8579-98F7C458E54C}"/>
            </c:ext>
          </c:extLst>
        </c:ser>
        <c:ser>
          <c:idx val="6"/>
          <c:order val="6"/>
          <c:tx>
            <c:strRef>
              <c:f>Model_2!$A$63</c:f>
              <c:strCache>
                <c:ptCount val="1"/>
                <c:pt idx="0">
                  <c:v> Tree removal </c:v>
                </c:pt>
              </c:strCache>
            </c:strRef>
          </c:tx>
          <c:spPr>
            <a:solidFill>
              <a:schemeClr val="accent1">
                <a:lumMod val="6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Model_2!$B$63:$AY$63</c:f>
              <c:numCache>
                <c:formatCode>_-"$"* #,##0_-;\-"$"* #,##0_-;_-"$"* "-"??_-;_-@_-</c:formatCode>
                <c:ptCount val="50"/>
                <c:pt idx="0">
                  <c:v>0</c:v>
                </c:pt>
                <c:pt idx="1">
                  <c:v>0</c:v>
                </c:pt>
                <c:pt idx="2">
                  <c:v>0</c:v>
                </c:pt>
                <c:pt idx="3">
                  <c:v>0</c:v>
                </c:pt>
                <c:pt idx="4">
                  <c:v>0</c:v>
                </c:pt>
                <c:pt idx="5">
                  <c:v>0</c:v>
                </c:pt>
                <c:pt idx="6">
                  <c:v>5050.4648363171364</c:v>
                </c:pt>
                <c:pt idx="7">
                  <c:v>5176.7264572250651</c:v>
                </c:pt>
                <c:pt idx="8">
                  <c:v>5306.1446186556914</c:v>
                </c:pt>
                <c:pt idx="9">
                  <c:v>5438.7982341220832</c:v>
                </c:pt>
                <c:pt idx="10">
                  <c:v>5574.7681899751351</c:v>
                </c:pt>
                <c:pt idx="11">
                  <c:v>5714.1373947245138</c:v>
                </c:pt>
                <c:pt idx="12">
                  <c:v>5856.9908295926261</c:v>
                </c:pt>
                <c:pt idx="13">
                  <c:v>6003.4156003324415</c:v>
                </c:pt>
                <c:pt idx="14">
                  <c:v>6153.5009903407517</c:v>
                </c:pt>
                <c:pt idx="15">
                  <c:v>6307.3385150992708</c:v>
                </c:pt>
                <c:pt idx="16">
                  <c:v>6465.0219779767522</c:v>
                </c:pt>
                <c:pt idx="17">
                  <c:v>6626.6475274261702</c:v>
                </c:pt>
                <c:pt idx="18">
                  <c:v>6792.3137156118246</c:v>
                </c:pt>
                <c:pt idx="19">
                  <c:v>6962.1215585021209</c:v>
                </c:pt>
                <c:pt idx="20">
                  <c:v>7136.1745974646728</c:v>
                </c:pt>
                <c:pt idx="21">
                  <c:v>7314.5789624012887</c:v>
                </c:pt>
                <c:pt idx="22">
                  <c:v>7497.4434364613207</c:v>
                </c:pt>
                <c:pt idx="23">
                  <c:v>7684.8795223728539</c:v>
                </c:pt>
                <c:pt idx="24">
                  <c:v>7877.0015104321747</c:v>
                </c:pt>
                <c:pt idx="25">
                  <c:v>8073.9265481929779</c:v>
                </c:pt>
                <c:pt idx="26">
                  <c:v>8275.7747118978023</c:v>
                </c:pt>
                <c:pt idx="27">
                  <c:v>8482.6690796952462</c:v>
                </c:pt>
                <c:pt idx="28">
                  <c:v>8694.7358066876277</c:v>
                </c:pt>
                <c:pt idx="29">
                  <c:v>8912.1042018548178</c:v>
                </c:pt>
                <c:pt idx="30">
                  <c:v>9134.9068069011864</c:v>
                </c:pt>
                <c:pt idx="31">
                  <c:v>9363.2794770737182</c:v>
                </c:pt>
                <c:pt idx="32">
                  <c:v>9597.3614640005599</c:v>
                </c:pt>
                <c:pt idx="33">
                  <c:v>9837.2955006005741</c:v>
                </c:pt>
                <c:pt idx="34">
                  <c:v>10083.227888115587</c:v>
                </c:pt>
                <c:pt idx="35">
                  <c:v>10335.308585318477</c:v>
                </c:pt>
                <c:pt idx="36">
                  <c:v>10593.691299951439</c:v>
                </c:pt>
                <c:pt idx="37">
                  <c:v>10858.533582450224</c:v>
                </c:pt>
                <c:pt idx="38">
                  <c:v>11129.996922011476</c:v>
                </c:pt>
                <c:pt idx="39">
                  <c:v>11408.246845061765</c:v>
                </c:pt>
                <c:pt idx="40">
                  <c:v>11693.453016188307</c:v>
                </c:pt>
                <c:pt idx="41">
                  <c:v>11985.789341593014</c:v>
                </c:pt>
                <c:pt idx="42">
                  <c:v>12285.43407513284</c:v>
                </c:pt>
                <c:pt idx="43">
                  <c:v>12592.569927011162</c:v>
                </c:pt>
                <c:pt idx="44">
                  <c:v>12907.384175186437</c:v>
                </c:pt>
                <c:pt idx="45">
                  <c:v>13230.0687795661</c:v>
                </c:pt>
                <c:pt idx="46">
                  <c:v>13560.820499055248</c:v>
                </c:pt>
                <c:pt idx="47">
                  <c:v>13899.841011531633</c:v>
                </c:pt>
                <c:pt idx="48">
                  <c:v>14247.337036819921</c:v>
                </c:pt>
                <c:pt idx="49">
                  <c:v>14603.520462740418</c:v>
                </c:pt>
              </c:numCache>
            </c:numRef>
          </c:val>
          <c:extLst>
            <c:ext xmlns:c16="http://schemas.microsoft.com/office/drawing/2014/chart" uri="{C3380CC4-5D6E-409C-BE32-E72D297353CC}">
              <c16:uniqueId val="{00000006-AA51-43F4-8579-98F7C458E54C}"/>
            </c:ext>
          </c:extLst>
        </c:ser>
        <c:ser>
          <c:idx val="7"/>
          <c:order val="7"/>
          <c:tx>
            <c:strRef>
              <c:f>Model_2!$A$64</c:f>
              <c:strCache>
                <c:ptCount val="1"/>
                <c:pt idx="0">
                  <c:v> Soil cost ($/m3) </c:v>
                </c:pt>
              </c:strCache>
            </c:strRef>
          </c:tx>
          <c:spPr>
            <a:solidFill>
              <a:schemeClr val="accent2">
                <a:lumMod val="6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Model_2!$B$64:$AY$64</c:f>
              <c:numCache>
                <c:formatCode>_-"$"* #,##0_-;\-"$"* #,##0_-;_-"$"* "-"??_-;_-@_-</c:formatCode>
                <c:ptCount val="50"/>
                <c:pt idx="0">
                  <c:v>1790.1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7-AA51-43F4-8579-98F7C458E54C}"/>
            </c:ext>
          </c:extLst>
        </c:ser>
        <c:ser>
          <c:idx val="8"/>
          <c:order val="8"/>
          <c:tx>
            <c:strRef>
              <c:f>Model_2!$A$65</c:f>
              <c:strCache>
                <c:ptCount val="1"/>
                <c:pt idx="0">
                  <c:v> Tree protection fencing ($) </c:v>
                </c:pt>
              </c:strCache>
            </c:strRef>
          </c:tx>
          <c:spPr>
            <a:solidFill>
              <a:schemeClr val="accent3">
                <a:lumMod val="6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Model_2!$B$65:$AY$65</c:f>
              <c:numCache>
                <c:formatCode>_-"$"* #,##0_-;\-"$"* #,##0_-;_-"$"* "-"??_-;_-@_-</c:formatCode>
                <c:ptCount val="50"/>
                <c:pt idx="0">
                  <c:v>250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8-AA51-43F4-8579-98F7C458E54C}"/>
            </c:ext>
          </c:extLst>
        </c:ser>
        <c:ser>
          <c:idx val="9"/>
          <c:order val="9"/>
          <c:tx>
            <c:strRef>
              <c:f>Model_2!$A$66</c:f>
              <c:strCache>
                <c:ptCount val="1"/>
                <c:pt idx="0">
                  <c:v> Traffic control cost ($) </c:v>
                </c:pt>
              </c:strCache>
            </c:strRef>
          </c:tx>
          <c:spPr>
            <a:solidFill>
              <a:schemeClr val="accent4">
                <a:lumMod val="6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Model_2!$B$66:$AY$66</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9-AA51-43F4-8579-98F7C458E54C}"/>
            </c:ext>
          </c:extLst>
        </c:ser>
        <c:ser>
          <c:idx val="10"/>
          <c:order val="10"/>
          <c:tx>
            <c:strRef>
              <c:f>Model_2!$A$67</c:f>
              <c:strCache>
                <c:ptCount val="1"/>
                <c:pt idx="0">
                  <c:v> Guard rails </c:v>
                </c:pt>
              </c:strCache>
            </c:strRef>
          </c:tx>
          <c:spPr>
            <a:solidFill>
              <a:srgbClr val="92D050"/>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Model_2!$B$67:$AY$67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A-AA51-43F4-8579-98F7C458E54C}"/>
            </c:ext>
          </c:extLst>
        </c:ser>
        <c:ser>
          <c:idx val="11"/>
          <c:order val="11"/>
          <c:tx>
            <c:strRef>
              <c:f>Model_2!$A$68</c:f>
              <c:strCache>
                <c:ptCount val="1"/>
                <c:pt idx="0">
                  <c:v> StrataVault or Strata cells ($) </c:v>
                </c:pt>
              </c:strCache>
            </c:strRef>
          </c:tx>
          <c:spPr>
            <a:solidFill>
              <a:schemeClr val="accent6">
                <a:lumMod val="6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Model_2!$B$68:$AY$68</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B-AA51-43F4-8579-98F7C458E54C}"/>
            </c:ext>
          </c:extLst>
        </c:ser>
        <c:ser>
          <c:idx val="12"/>
          <c:order val="12"/>
          <c:tx>
            <c:strRef>
              <c:f>Model_2!$A$69</c:f>
              <c:strCache>
                <c:ptCount val="1"/>
                <c:pt idx="0">
                  <c:v> Watering costs </c:v>
                </c:pt>
              </c:strCache>
            </c:strRef>
          </c:tx>
          <c:spPr>
            <a:solidFill>
              <a:schemeClr val="accent1">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Model_2!$B$69:$AY$69</c:f>
              <c:numCache>
                <c:formatCode>_-"$"* #,##0_-;\-"$"* #,##0_-;_-"$"* "-"??_-;_-@_-</c:formatCode>
                <c:ptCount val="50"/>
                <c:pt idx="0">
                  <c:v>4800</c:v>
                </c:pt>
                <c:pt idx="1">
                  <c:v>1639.9999999999998</c:v>
                </c:pt>
                <c:pt idx="2">
                  <c:v>1680.9999999999998</c:v>
                </c:pt>
                <c:pt idx="3">
                  <c:v>1723.0249999999999</c:v>
                </c:pt>
                <c:pt idx="4">
                  <c:v>1766.1006249999996</c:v>
                </c:pt>
                <c:pt idx="5">
                  <c:v>1810.2531406249996</c:v>
                </c:pt>
                <c:pt idx="6">
                  <c:v>1855.5094691406243</c:v>
                </c:pt>
                <c:pt idx="7">
                  <c:v>1901.89720586914</c:v>
                </c:pt>
                <c:pt idx="8">
                  <c:v>1949.4446360158684</c:v>
                </c:pt>
                <c:pt idx="9">
                  <c:v>1998.1807519162646</c:v>
                </c:pt>
                <c:pt idx="10">
                  <c:v>2048.1352707141714</c:v>
                </c:pt>
                <c:pt idx="11">
                  <c:v>2099.3386524820257</c:v>
                </c:pt>
                <c:pt idx="12">
                  <c:v>2151.8221187940762</c:v>
                </c:pt>
                <c:pt idx="13">
                  <c:v>2205.6176717639278</c:v>
                </c:pt>
                <c:pt idx="14">
                  <c:v>2260.7581135580258</c:v>
                </c:pt>
                <c:pt idx="15">
                  <c:v>2317.2770663969768</c:v>
                </c:pt>
                <c:pt idx="16">
                  <c:v>2375.2089930569009</c:v>
                </c:pt>
                <c:pt idx="17">
                  <c:v>2434.5892178833233</c:v>
                </c:pt>
                <c:pt idx="18">
                  <c:v>2495.4539483304065</c:v>
                </c:pt>
                <c:pt idx="19">
                  <c:v>2557.8402970386664</c:v>
                </c:pt>
                <c:pt idx="20">
                  <c:v>2621.7863044646328</c:v>
                </c:pt>
                <c:pt idx="21">
                  <c:v>2687.3309620762484</c:v>
                </c:pt>
                <c:pt idx="22">
                  <c:v>2754.5142361281546</c:v>
                </c:pt>
                <c:pt idx="23">
                  <c:v>2823.3770920313586</c:v>
                </c:pt>
                <c:pt idx="24">
                  <c:v>2893.9615193321424</c:v>
                </c:pt>
                <c:pt idx="25">
                  <c:v>2966.3105573154453</c:v>
                </c:pt>
                <c:pt idx="26">
                  <c:v>3040.4683212483314</c:v>
                </c:pt>
                <c:pt idx="27">
                  <c:v>3116.4800292795394</c:v>
                </c:pt>
                <c:pt idx="28">
                  <c:v>3194.3920300115278</c:v>
                </c:pt>
                <c:pt idx="29">
                  <c:v>3274.2518307618161</c:v>
                </c:pt>
                <c:pt idx="30">
                  <c:v>3356.1081265308608</c:v>
                </c:pt>
                <c:pt idx="31">
                  <c:v>3440.0108296941335</c:v>
                </c:pt>
                <c:pt idx="32">
                  <c:v>3526.0111004364858</c:v>
                </c:pt>
                <c:pt idx="33">
                  <c:v>3614.1613779473978</c:v>
                </c:pt>
                <c:pt idx="34">
                  <c:v>3704.5154123960829</c:v>
                </c:pt>
                <c:pt idx="35">
                  <c:v>3797.1282977059846</c:v>
                </c:pt>
                <c:pt idx="36">
                  <c:v>3892.0565051486342</c:v>
                </c:pt>
                <c:pt idx="37">
                  <c:v>3989.3579177773495</c:v>
                </c:pt>
                <c:pt idx="38">
                  <c:v>4089.0918657217826</c:v>
                </c:pt>
                <c:pt idx="39">
                  <c:v>4191.3191623648272</c:v>
                </c:pt>
                <c:pt idx="40">
                  <c:v>4296.1021414239476</c:v>
                </c:pt>
                <c:pt idx="41">
                  <c:v>4403.5046949595462</c:v>
                </c:pt>
                <c:pt idx="42">
                  <c:v>4513.5923123335342</c:v>
                </c:pt>
                <c:pt idx="43">
                  <c:v>4626.4321201418734</c:v>
                </c:pt>
                <c:pt idx="44">
                  <c:v>4742.0929231454193</c:v>
                </c:pt>
                <c:pt idx="45">
                  <c:v>4860.645246224055</c:v>
                </c:pt>
                <c:pt idx="46">
                  <c:v>4982.1613773796553</c:v>
                </c:pt>
                <c:pt idx="47">
                  <c:v>5106.715411814147</c:v>
                </c:pt>
                <c:pt idx="48">
                  <c:v>5234.3832971095007</c:v>
                </c:pt>
                <c:pt idx="49">
                  <c:v>5365.2428795372371</c:v>
                </c:pt>
              </c:numCache>
            </c:numRef>
          </c:val>
          <c:extLst>
            <c:ext xmlns:c16="http://schemas.microsoft.com/office/drawing/2014/chart" uri="{C3380CC4-5D6E-409C-BE32-E72D297353CC}">
              <c16:uniqueId val="{0000000C-AA51-43F4-8579-98F7C458E54C}"/>
            </c:ext>
          </c:extLst>
        </c:ser>
        <c:ser>
          <c:idx val="13"/>
          <c:order val="13"/>
          <c:tx>
            <c:strRef>
              <c:f>Model_2!$A$70</c:f>
              <c:strCache>
                <c:ptCount val="1"/>
                <c:pt idx="0">
                  <c:v> Maintenance </c:v>
                </c:pt>
              </c:strCache>
            </c:strRef>
          </c:tx>
          <c:spPr>
            <a:solidFill>
              <a:schemeClr val="accent2">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Model_2!$B$70:$AY$70</c:f>
              <c:numCache>
                <c:formatCode>_-"$"* #,##0_-;\-"$"* #,##0_-;_-"$"* "-"??_-;_-@_-</c:formatCode>
                <c:ptCount val="50"/>
                <c:pt idx="0">
                  <c:v>13299</c:v>
                </c:pt>
                <c:pt idx="1">
                  <c:v>3597.7499999999991</c:v>
                </c:pt>
                <c:pt idx="2">
                  <c:v>2765.7703124999994</c:v>
                </c:pt>
                <c:pt idx="3">
                  <c:v>2834.9145703124991</c:v>
                </c:pt>
                <c:pt idx="4">
                  <c:v>2905.7874345703112</c:v>
                </c:pt>
                <c:pt idx="5">
                  <c:v>2978.4321204345688</c:v>
                </c:pt>
                <c:pt idx="6">
                  <c:v>3052.8929234454331</c:v>
                </c:pt>
                <c:pt idx="7">
                  <c:v>3129.2152465315689</c:v>
                </c:pt>
                <c:pt idx="8">
                  <c:v>3207.4456276948576</c:v>
                </c:pt>
                <c:pt idx="9">
                  <c:v>3287.6317683872285</c:v>
                </c:pt>
                <c:pt idx="10">
                  <c:v>3369.8225625969094</c:v>
                </c:pt>
                <c:pt idx="11">
                  <c:v>3454.0681266618321</c:v>
                </c:pt>
                <c:pt idx="12">
                  <c:v>3540.4198298283777</c:v>
                </c:pt>
                <c:pt idx="13">
                  <c:v>3628.930325574087</c:v>
                </c:pt>
                <c:pt idx="14">
                  <c:v>3719.6535837134388</c:v>
                </c:pt>
                <c:pt idx="15">
                  <c:v>3812.6449233062754</c:v>
                </c:pt>
                <c:pt idx="16">
                  <c:v>3907.9610463889317</c:v>
                </c:pt>
                <c:pt idx="17">
                  <c:v>4005.6600725486546</c:v>
                </c:pt>
                <c:pt idx="18">
                  <c:v>4105.801574362371</c:v>
                </c:pt>
                <c:pt idx="19">
                  <c:v>4208.4466137214304</c:v>
                </c:pt>
                <c:pt idx="20">
                  <c:v>4313.6577790644651</c:v>
                </c:pt>
                <c:pt idx="21">
                  <c:v>4421.4992235410764</c:v>
                </c:pt>
                <c:pt idx="22">
                  <c:v>4532.0367041296031</c:v>
                </c:pt>
                <c:pt idx="23">
                  <c:v>4645.3376217328441</c:v>
                </c:pt>
                <c:pt idx="24">
                  <c:v>4761.471062276165</c:v>
                </c:pt>
                <c:pt idx="25">
                  <c:v>4880.5078388330676</c:v>
                </c:pt>
                <c:pt idx="26">
                  <c:v>5002.5205348038944</c:v>
                </c:pt>
                <c:pt idx="27">
                  <c:v>5127.5835481739914</c:v>
                </c:pt>
                <c:pt idx="28">
                  <c:v>5255.7731368783407</c:v>
                </c:pt>
                <c:pt idx="29">
                  <c:v>5387.1674653003001</c:v>
                </c:pt>
                <c:pt idx="30">
                  <c:v>5521.8466519328058</c:v>
                </c:pt>
                <c:pt idx="31">
                  <c:v>5659.8928182311274</c:v>
                </c:pt>
                <c:pt idx="32">
                  <c:v>5801.3901386869047</c:v>
                </c:pt>
                <c:pt idx="33">
                  <c:v>5946.4248921540766</c:v>
                </c:pt>
                <c:pt idx="34">
                  <c:v>6095.0855144579291</c:v>
                </c:pt>
                <c:pt idx="35">
                  <c:v>6247.4626523193765</c:v>
                </c:pt>
                <c:pt idx="36">
                  <c:v>6403.6492186273608</c:v>
                </c:pt>
                <c:pt idx="37">
                  <c:v>6563.7404490930448</c:v>
                </c:pt>
                <c:pt idx="38">
                  <c:v>6727.8339603203685</c:v>
                </c:pt>
                <c:pt idx="39">
                  <c:v>6896.0298093283791</c:v>
                </c:pt>
                <c:pt idx="40">
                  <c:v>7068.4305545615871</c:v>
                </c:pt>
                <c:pt idx="41">
                  <c:v>7245.1413184256271</c:v>
                </c:pt>
                <c:pt idx="42">
                  <c:v>7426.269851386267</c:v>
                </c:pt>
                <c:pt idx="43">
                  <c:v>7611.9265976709239</c:v>
                </c:pt>
                <c:pt idx="44">
                  <c:v>7802.2247626126955</c:v>
                </c:pt>
                <c:pt idx="45">
                  <c:v>7997.2803816780133</c:v>
                </c:pt>
                <c:pt idx="46">
                  <c:v>8197.2123912199622</c:v>
                </c:pt>
                <c:pt idx="47">
                  <c:v>8402.1427010004627</c:v>
                </c:pt>
                <c:pt idx="48">
                  <c:v>8612.196268525473</c:v>
                </c:pt>
                <c:pt idx="49">
                  <c:v>8827.501175238609</c:v>
                </c:pt>
              </c:numCache>
            </c:numRef>
          </c:val>
          <c:extLst>
            <c:ext xmlns:c16="http://schemas.microsoft.com/office/drawing/2014/chart" uri="{C3380CC4-5D6E-409C-BE32-E72D297353CC}">
              <c16:uniqueId val="{0000000D-AA51-43F4-8579-98F7C458E54C}"/>
            </c:ext>
          </c:extLst>
        </c:ser>
        <c:ser>
          <c:idx val="14"/>
          <c:order val="14"/>
          <c:tx>
            <c:strRef>
              <c:f>Model_2!$A$71</c:f>
              <c:strCache>
                <c:ptCount val="1"/>
                <c:pt idx="0">
                  <c:v> Arborist tree health inspection ($) </c:v>
                </c:pt>
              </c:strCache>
            </c:strRef>
          </c:tx>
          <c:spPr>
            <a:solidFill>
              <a:schemeClr val="accent3">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Model_2!$B$71:$AY$71</c:f>
              <c:numCache>
                <c:formatCode>_-"$"* #,##0_-;\-"$"* #,##0_-;_-"$"* "-"??_-;_-@_-</c:formatCode>
                <c:ptCount val="50"/>
                <c:pt idx="0">
                  <c:v>500</c:v>
                </c:pt>
                <c:pt idx="1">
                  <c:v>512.5</c:v>
                </c:pt>
                <c:pt idx="2">
                  <c:v>525.3125</c:v>
                </c:pt>
                <c:pt idx="3">
                  <c:v>538.44531249999989</c:v>
                </c:pt>
                <c:pt idx="4">
                  <c:v>551.90644531249984</c:v>
                </c:pt>
                <c:pt idx="5">
                  <c:v>565.70410644531228</c:v>
                </c:pt>
                <c:pt idx="6">
                  <c:v>579.84670910644513</c:v>
                </c:pt>
                <c:pt idx="7">
                  <c:v>594.34287683410628</c:v>
                </c:pt>
                <c:pt idx="8">
                  <c:v>609.20144875495885</c:v>
                </c:pt>
                <c:pt idx="9">
                  <c:v>624.43148497383277</c:v>
                </c:pt>
                <c:pt idx="10">
                  <c:v>640.0422720981785</c:v>
                </c:pt>
                <c:pt idx="11">
                  <c:v>656.04332890063301</c:v>
                </c:pt>
                <c:pt idx="12">
                  <c:v>672.44441212314871</c:v>
                </c:pt>
                <c:pt idx="13">
                  <c:v>689.25552242622746</c:v>
                </c:pt>
                <c:pt idx="14">
                  <c:v>706.48691048688306</c:v>
                </c:pt>
                <c:pt idx="15">
                  <c:v>724.14908324905525</c:v>
                </c:pt>
                <c:pt idx="16">
                  <c:v>742.25281033028159</c:v>
                </c:pt>
                <c:pt idx="17">
                  <c:v>760.80913058853855</c:v>
                </c:pt>
                <c:pt idx="18">
                  <c:v>779.82935885325196</c:v>
                </c:pt>
                <c:pt idx="19">
                  <c:v>799.32509282458329</c:v>
                </c:pt>
                <c:pt idx="20">
                  <c:v>819.30822014519777</c:v>
                </c:pt>
                <c:pt idx="21">
                  <c:v>839.79092564882762</c:v>
                </c:pt>
                <c:pt idx="22">
                  <c:v>860.78569879004829</c:v>
                </c:pt>
                <c:pt idx="23">
                  <c:v>882.30534125979955</c:v>
                </c:pt>
                <c:pt idx="24">
                  <c:v>904.3629747912945</c:v>
                </c:pt>
                <c:pt idx="25">
                  <c:v>926.97204916107671</c:v>
                </c:pt>
                <c:pt idx="26">
                  <c:v>950.14635039010352</c:v>
                </c:pt>
                <c:pt idx="27">
                  <c:v>973.90000914985603</c:v>
                </c:pt>
                <c:pt idx="28">
                  <c:v>998.24750937860244</c:v>
                </c:pt>
                <c:pt idx="29">
                  <c:v>1023.2036971130676</c:v>
                </c:pt>
                <c:pt idx="30">
                  <c:v>1048.7837895408941</c:v>
                </c:pt>
                <c:pt idx="31">
                  <c:v>1075.0033842794167</c:v>
                </c:pt>
                <c:pt idx="32">
                  <c:v>1101.8784688864018</c:v>
                </c:pt>
                <c:pt idx="33">
                  <c:v>1129.4254306085618</c:v>
                </c:pt>
                <c:pt idx="34">
                  <c:v>1157.6610663737758</c:v>
                </c:pt>
                <c:pt idx="35">
                  <c:v>1186.60259303312</c:v>
                </c:pt>
                <c:pt idx="36">
                  <c:v>1216.2676578589483</c:v>
                </c:pt>
                <c:pt idx="37">
                  <c:v>1246.6743493054219</c:v>
                </c:pt>
                <c:pt idx="38">
                  <c:v>1277.8412080380569</c:v>
                </c:pt>
                <c:pt idx="39">
                  <c:v>1309.7872382390085</c:v>
                </c:pt>
                <c:pt idx="40">
                  <c:v>1342.5319191949836</c:v>
                </c:pt>
                <c:pt idx="41">
                  <c:v>1376.0952171748581</c:v>
                </c:pt>
                <c:pt idx="42">
                  <c:v>1410.4975976042294</c:v>
                </c:pt>
                <c:pt idx="43">
                  <c:v>1445.7600375443353</c:v>
                </c:pt>
                <c:pt idx="44">
                  <c:v>1481.9040384829434</c:v>
                </c:pt>
                <c:pt idx="45">
                  <c:v>1518.951639445017</c:v>
                </c:pt>
                <c:pt idx="46">
                  <c:v>1556.9254304311421</c:v>
                </c:pt>
                <c:pt idx="47">
                  <c:v>1595.848566191921</c:v>
                </c:pt>
                <c:pt idx="48">
                  <c:v>1635.7447803467189</c:v>
                </c:pt>
                <c:pt idx="49">
                  <c:v>1676.6383998553868</c:v>
                </c:pt>
              </c:numCache>
            </c:numRef>
          </c:val>
          <c:extLst>
            <c:ext xmlns:c16="http://schemas.microsoft.com/office/drawing/2014/chart" uri="{C3380CC4-5D6E-409C-BE32-E72D297353CC}">
              <c16:uniqueId val="{0000000E-AA51-43F4-8579-98F7C458E54C}"/>
            </c:ext>
          </c:extLst>
        </c:ser>
        <c:ser>
          <c:idx val="15"/>
          <c:order val="15"/>
          <c:tx>
            <c:strRef>
              <c:f>Model_2!$A$72</c:f>
              <c:strCache>
                <c:ptCount val="1"/>
                <c:pt idx="0">
                  <c:v> Visual tree inspection ($) </c:v>
                </c:pt>
              </c:strCache>
            </c:strRef>
          </c:tx>
          <c:spPr>
            <a:solidFill>
              <a:schemeClr val="accent4">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Model_2!$B$72:$AY$72</c:f>
              <c:numCache>
                <c:formatCode>_-"$"* #,##0_-;\-"$"* #,##0_-;_-"$"* "-"??_-;_-@_-</c:formatCode>
                <c:ptCount val="50"/>
                <c:pt idx="0">
                  <c:v>300</c:v>
                </c:pt>
                <c:pt idx="1">
                  <c:v>307.5</c:v>
                </c:pt>
                <c:pt idx="2">
                  <c:v>315.1875</c:v>
                </c:pt>
                <c:pt idx="3">
                  <c:v>323.06718749999999</c:v>
                </c:pt>
                <c:pt idx="4">
                  <c:v>331.14386718749995</c:v>
                </c:pt>
                <c:pt idx="5">
                  <c:v>339.42246386718739</c:v>
                </c:pt>
                <c:pt idx="6">
                  <c:v>347.90802546386703</c:v>
                </c:pt>
                <c:pt idx="7">
                  <c:v>356.60572610046376</c:v>
                </c:pt>
                <c:pt idx="8">
                  <c:v>365.52086925297533</c:v>
                </c:pt>
                <c:pt idx="9">
                  <c:v>374.6588909842996</c:v>
                </c:pt>
                <c:pt idx="10">
                  <c:v>384.02536325890713</c:v>
                </c:pt>
                <c:pt idx="11">
                  <c:v>393.6259973403798</c:v>
                </c:pt>
                <c:pt idx="12">
                  <c:v>403.46664727388924</c:v>
                </c:pt>
                <c:pt idx="13">
                  <c:v>413.55331345573649</c:v>
                </c:pt>
                <c:pt idx="14">
                  <c:v>423.89214629212984</c:v>
                </c:pt>
                <c:pt idx="15">
                  <c:v>434.48944994943315</c:v>
                </c:pt>
                <c:pt idx="16">
                  <c:v>445.35168619816892</c:v>
                </c:pt>
                <c:pt idx="17">
                  <c:v>456.48547835312309</c:v>
                </c:pt>
                <c:pt idx="18">
                  <c:v>467.8976153119512</c:v>
                </c:pt>
                <c:pt idx="19">
                  <c:v>479.59505569474999</c:v>
                </c:pt>
                <c:pt idx="20">
                  <c:v>491.58493208711866</c:v>
                </c:pt>
                <c:pt idx="21">
                  <c:v>503.87455538929657</c:v>
                </c:pt>
                <c:pt idx="22">
                  <c:v>516.47141927402902</c:v>
                </c:pt>
                <c:pt idx="23">
                  <c:v>529.38320475587977</c:v>
                </c:pt>
                <c:pt idx="24">
                  <c:v>542.6177848747767</c:v>
                </c:pt>
                <c:pt idx="25">
                  <c:v>556.18322949664605</c:v>
                </c:pt>
                <c:pt idx="26">
                  <c:v>570.08781023406209</c:v>
                </c:pt>
                <c:pt idx="27">
                  <c:v>584.34000548991366</c:v>
                </c:pt>
                <c:pt idx="28">
                  <c:v>598.94850562716147</c:v>
                </c:pt>
                <c:pt idx="29">
                  <c:v>613.92221826784055</c:v>
                </c:pt>
                <c:pt idx="30">
                  <c:v>629.27027372453642</c:v>
                </c:pt>
                <c:pt idx="31">
                  <c:v>645.00203056764997</c:v>
                </c:pt>
                <c:pt idx="32">
                  <c:v>661.12708133184105</c:v>
                </c:pt>
                <c:pt idx="33">
                  <c:v>677.65525836513712</c:v>
                </c:pt>
                <c:pt idx="34">
                  <c:v>694.59663982426548</c:v>
                </c:pt>
                <c:pt idx="35">
                  <c:v>711.96155581987205</c:v>
                </c:pt>
                <c:pt idx="36">
                  <c:v>729.76059471536894</c:v>
                </c:pt>
                <c:pt idx="37">
                  <c:v>748.004609583253</c:v>
                </c:pt>
                <c:pt idx="38">
                  <c:v>766.70472482283424</c:v>
                </c:pt>
                <c:pt idx="39">
                  <c:v>785.8723429434051</c:v>
                </c:pt>
                <c:pt idx="40">
                  <c:v>805.51915151699018</c:v>
                </c:pt>
                <c:pt idx="41">
                  <c:v>825.65713030491486</c:v>
                </c:pt>
                <c:pt idx="42">
                  <c:v>846.29855856253778</c:v>
                </c:pt>
                <c:pt idx="43">
                  <c:v>867.45602252660126</c:v>
                </c:pt>
                <c:pt idx="44">
                  <c:v>889.142423089766</c:v>
                </c:pt>
                <c:pt idx="45">
                  <c:v>911.37098366701025</c:v>
                </c:pt>
                <c:pt idx="46">
                  <c:v>934.15525825868531</c:v>
                </c:pt>
                <c:pt idx="47">
                  <c:v>957.50913971515263</c:v>
                </c:pt>
                <c:pt idx="48">
                  <c:v>981.44686820803133</c:v>
                </c:pt>
                <c:pt idx="49">
                  <c:v>1005.983039913232</c:v>
                </c:pt>
              </c:numCache>
            </c:numRef>
          </c:val>
          <c:extLst>
            <c:ext xmlns:c16="http://schemas.microsoft.com/office/drawing/2014/chart" uri="{C3380CC4-5D6E-409C-BE32-E72D297353CC}">
              <c16:uniqueId val="{0000000F-AA51-43F4-8579-98F7C458E54C}"/>
            </c:ext>
          </c:extLst>
        </c:ser>
        <c:ser>
          <c:idx val="16"/>
          <c:order val="16"/>
          <c:tx>
            <c:strRef>
              <c:f>Model_2!$A$73</c:f>
              <c:strCache>
                <c:ptCount val="1"/>
                <c:pt idx="0">
                  <c:v> GIS mapping and inventory assessment ($) </c:v>
                </c:pt>
              </c:strCache>
            </c:strRef>
          </c:tx>
          <c:spPr>
            <a:solidFill>
              <a:schemeClr val="accent5">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Model_2!$B$73:$AY$73</c:f>
              <c:numCache>
                <c:formatCode>_-"$"* #,##0_-;\-"$"* #,##0_-;_-"$"* "-"??_-;_-@_-</c:formatCode>
                <c:ptCount val="50"/>
                <c:pt idx="0">
                  <c:v>240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0-AA51-43F4-8579-98F7C458E54C}"/>
            </c:ext>
          </c:extLst>
        </c:ser>
        <c:ser>
          <c:idx val="17"/>
          <c:order val="17"/>
          <c:tx>
            <c:strRef>
              <c:f>Model_2!$A$74</c:f>
              <c:strCache>
                <c:ptCount val="1"/>
                <c:pt idx="0">
                  <c:v> User specified cost item 1 ($/tree in Year 1 only) </c:v>
                </c:pt>
              </c:strCache>
            </c:strRef>
          </c:tx>
          <c:spPr>
            <a:solidFill>
              <a:schemeClr val="accent6">
                <a:lumMod val="80000"/>
                <a:lumOff val="2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Model_2!$B$74:$AY$74</c:f>
              <c:numCache>
                <c:formatCode>_("$"* #,##0.00_);_("$"* \(#,##0.00\);_("$"*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1-AA51-43F4-8579-98F7C458E54C}"/>
            </c:ext>
          </c:extLst>
        </c:ser>
        <c:ser>
          <c:idx val="18"/>
          <c:order val="18"/>
          <c:tx>
            <c:strRef>
              <c:f>Model_2!$A$75</c:f>
              <c:strCache>
                <c:ptCount val="1"/>
                <c:pt idx="0">
                  <c:v> User specified cost item 2 ($/tree per annum up to year 2) </c:v>
                </c:pt>
              </c:strCache>
            </c:strRef>
          </c:tx>
          <c:spPr>
            <a:solidFill>
              <a:schemeClr val="accent1">
                <a:lumMod val="8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Model_2!$B$75:$AY$75</c:f>
              <c:numCache>
                <c:formatCode>_("$"* #,##0.00_);_("$"* \(#,##0.00\);_("$"*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2-AA51-43F4-8579-98F7C458E54C}"/>
            </c:ext>
          </c:extLst>
        </c:ser>
        <c:ser>
          <c:idx val="19"/>
          <c:order val="19"/>
          <c:tx>
            <c:strRef>
              <c:f>Model_2!$A$76</c:f>
              <c:strCache>
                <c:ptCount val="1"/>
                <c:pt idx="0">
                  <c:v> User specified cost item 3 ($/tree per annum) </c:v>
                </c:pt>
              </c:strCache>
            </c:strRef>
          </c:tx>
          <c:spPr>
            <a:solidFill>
              <a:schemeClr val="accent2">
                <a:lumMod val="8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Model_2!$B$76:$AY$76</c:f>
              <c:numCache>
                <c:formatCode>_("$"* #,##0.00_);_("$"* \(#,##0.00\);_("$"*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3-AA51-43F4-8579-98F7C458E54C}"/>
            </c:ext>
          </c:extLst>
        </c:ser>
        <c:ser>
          <c:idx val="20"/>
          <c:order val="20"/>
          <c:tx>
            <c:strRef>
              <c:f>Model_2!$A$77</c:f>
              <c:strCache>
                <c:ptCount val="1"/>
                <c:pt idx="0">
                  <c:v> User specified cost item 4 ($/tree per annum) </c:v>
                </c:pt>
              </c:strCache>
            </c:strRef>
          </c:tx>
          <c:spPr>
            <a:solidFill>
              <a:schemeClr val="accent3">
                <a:lumMod val="8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Model_2!$B$77:$AY$77</c:f>
              <c:numCache>
                <c:formatCode>_("$"* #,##0.00_);_("$"* \(#,##0.00\);_("$"*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4-AA51-43F4-8579-98F7C458E54C}"/>
            </c:ext>
          </c:extLst>
        </c:ser>
        <c:ser>
          <c:idx val="21"/>
          <c:order val="21"/>
          <c:tx>
            <c:strRef>
              <c:f>Model_2!$A$78</c:f>
              <c:strCache>
                <c:ptCount val="1"/>
                <c:pt idx="0">
                  <c:v> User specified cost item 5 ($/tree per annum) </c:v>
                </c:pt>
              </c:strCache>
            </c:strRef>
          </c:tx>
          <c:spPr>
            <a:solidFill>
              <a:schemeClr val="accent4">
                <a:lumMod val="80000"/>
              </a:schemeClr>
            </a:solidFill>
            <a:ln>
              <a:noFill/>
            </a:ln>
            <a:effectLst/>
          </c:spPr>
          <c:invertIfNegative val="0"/>
          <c:cat>
            <c:strRef>
              <c:f>Model_2!$B$56:$AY$56</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Model_2!$B$78:$AY$78</c:f>
              <c:numCache>
                <c:formatCode>_("$"* #,##0.00_);_("$"* \(#,##0.00\);_("$"*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5-AA51-43F4-8579-98F7C458E54C}"/>
            </c:ext>
          </c:extLst>
        </c:ser>
        <c:dLbls>
          <c:showLegendKey val="0"/>
          <c:showVal val="0"/>
          <c:showCatName val="0"/>
          <c:showSerName val="0"/>
          <c:showPercent val="0"/>
          <c:showBubbleSize val="0"/>
        </c:dLbls>
        <c:gapWidth val="150"/>
        <c:overlap val="100"/>
        <c:axId val="1154820360"/>
        <c:axId val="1154820688"/>
      </c:barChart>
      <c:catAx>
        <c:axId val="1154820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688"/>
        <c:crosses val="autoZero"/>
        <c:auto val="1"/>
        <c:lblAlgn val="ctr"/>
        <c:lblOffset val="100"/>
        <c:noMultiLvlLbl val="0"/>
      </c:catAx>
      <c:valAx>
        <c:axId val="1154820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Cost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Model_3!$A$46</c:f>
          <c:strCache>
            <c:ptCount val="1"/>
            <c:pt idx="0">
              <c:v>Option 3 - Cashflow (adjusted for inflation)</c:v>
            </c:pt>
          </c:strCache>
        </c:strRef>
      </c:tx>
      <c:layout>
        <c:manualLayout>
          <c:xMode val="edge"/>
          <c:yMode val="edge"/>
          <c:x val="0.31524167171411266"/>
          <c:y val="1.21028744326777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Model_3!$A$49</c:f>
              <c:strCache>
                <c:ptCount val="1"/>
                <c:pt idx="0">
                  <c:v> Direct seeding ($) </c:v>
                </c:pt>
              </c:strCache>
            </c:strRef>
          </c:tx>
          <c:spPr>
            <a:solidFill>
              <a:schemeClr val="accent1"/>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Model_3!$B$49:$AY$49</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0-F442-49BD-8615-48C286EACFAD}"/>
            </c:ext>
          </c:extLst>
        </c:ser>
        <c:ser>
          <c:idx val="1"/>
          <c:order val="1"/>
          <c:tx>
            <c:strRef>
              <c:f>Model_3!$A$50</c:f>
              <c:strCache>
                <c:ptCount val="1"/>
                <c:pt idx="0">
                  <c:v> Tubestock supply and planting ($) </c:v>
                </c:pt>
              </c:strCache>
            </c:strRef>
          </c:tx>
          <c:spPr>
            <a:solidFill>
              <a:schemeClr val="accent2"/>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Model_3!$B$50:$AY$50</c:f>
              <c:numCache>
                <c:formatCode>_-"$"* #,##0_-;\-"$"* #,##0_-;_-"$"* "-"??_-;_-@_-</c:formatCode>
                <c:ptCount val="50"/>
                <c:pt idx="0">
                  <c:v>15000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1-F442-49BD-8615-48C286EACFAD}"/>
            </c:ext>
          </c:extLst>
        </c:ser>
        <c:ser>
          <c:idx val="2"/>
          <c:order val="2"/>
          <c:tx>
            <c:strRef>
              <c:f>Model_3!$A$51</c:f>
              <c:strCache>
                <c:ptCount val="1"/>
                <c:pt idx="0">
                  <c:v> Tubestock tree guards / protection sleeve </c:v>
                </c:pt>
              </c:strCache>
            </c:strRef>
          </c:tx>
          <c:spPr>
            <a:solidFill>
              <a:schemeClr val="accent3"/>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Model_3!$B$51:$AY$51</c:f>
              <c:numCache>
                <c:formatCode>_-"$"* #,##0_-;\-"$"* #,##0_-;_-"$"* "-"??_-;_-@_-</c:formatCode>
                <c:ptCount val="50"/>
                <c:pt idx="0">
                  <c:v>2500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2-F442-49BD-8615-48C286EACFAD}"/>
            </c:ext>
          </c:extLst>
        </c:ser>
        <c:ser>
          <c:idx val="3"/>
          <c:order val="3"/>
          <c:tx>
            <c:strRef>
              <c:f>Model_3!$A$52</c:f>
              <c:strCache>
                <c:ptCount val="1"/>
                <c:pt idx="0">
                  <c:v> Watering in year 1 ($) </c:v>
                </c:pt>
              </c:strCache>
            </c:strRef>
          </c:tx>
          <c:spPr>
            <a:solidFill>
              <a:schemeClr val="accent4"/>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Model_3!$B$52:$AY$52</c:f>
              <c:numCache>
                <c:formatCode>_-"$"* #,##0_-;\-"$"* #,##0_-;_-"$"* "-"??_-;_-@_-</c:formatCode>
                <c:ptCount val="50"/>
                <c:pt idx="0">
                  <c:v>960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3-F442-49BD-8615-48C286EACFAD}"/>
            </c:ext>
          </c:extLst>
        </c:ser>
        <c:ser>
          <c:idx val="4"/>
          <c:order val="4"/>
          <c:tx>
            <c:strRef>
              <c:f>Model_3!$A$53</c:f>
              <c:strCache>
                <c:ptCount val="1"/>
                <c:pt idx="0">
                  <c:v> Watering from year 2 to 10 ($) </c:v>
                </c:pt>
              </c:strCache>
            </c:strRef>
          </c:tx>
          <c:spPr>
            <a:solidFill>
              <a:schemeClr val="accent5"/>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Model_3!$B$53:$AY$53</c:f>
              <c:numCache>
                <c:formatCode>_-"$"* #,##0_-;\-"$"* #,##0_-;_-"$"* "-"??_-;_-@_-</c:formatCode>
                <c:ptCount val="50"/>
                <c:pt idx="0">
                  <c:v>0</c:v>
                </c:pt>
                <c:pt idx="1">
                  <c:v>320</c:v>
                </c:pt>
                <c:pt idx="2">
                  <c:v>320</c:v>
                </c:pt>
                <c:pt idx="3">
                  <c:v>320</c:v>
                </c:pt>
                <c:pt idx="4">
                  <c:v>320</c:v>
                </c:pt>
                <c:pt idx="5">
                  <c:v>320</c:v>
                </c:pt>
                <c:pt idx="6">
                  <c:v>320</c:v>
                </c:pt>
                <c:pt idx="7">
                  <c:v>320</c:v>
                </c:pt>
                <c:pt idx="8">
                  <c:v>320</c:v>
                </c:pt>
                <c:pt idx="9">
                  <c:v>320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4-F442-49BD-8615-48C286EACFAD}"/>
            </c:ext>
          </c:extLst>
        </c:ser>
        <c:ser>
          <c:idx val="5"/>
          <c:order val="5"/>
          <c:tx>
            <c:strRef>
              <c:f>Model_3!$A$54</c:f>
              <c:strCache>
                <c:ptCount val="1"/>
                <c:pt idx="0">
                  <c:v> Watering from year 10 onwards ($) </c:v>
                </c:pt>
              </c:strCache>
            </c:strRef>
          </c:tx>
          <c:spPr>
            <a:solidFill>
              <a:schemeClr val="accent6"/>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Model_3!$B$54:$AY$54</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5-F442-49BD-8615-48C286EACFAD}"/>
            </c:ext>
          </c:extLst>
        </c:ser>
        <c:ser>
          <c:idx val="6"/>
          <c:order val="6"/>
          <c:tx>
            <c:strRef>
              <c:f>Model_3!$A$55</c:f>
              <c:strCache>
                <c:ptCount val="1"/>
                <c:pt idx="0">
                  <c:v> Tree removal ($) </c:v>
                </c:pt>
              </c:strCache>
            </c:strRef>
          </c:tx>
          <c:spPr>
            <a:solidFill>
              <a:schemeClr val="accent1">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Model_3!$B$55:$AY$55</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6-F442-49BD-8615-48C286EACFAD}"/>
            </c:ext>
          </c:extLst>
        </c:ser>
        <c:ser>
          <c:idx val="7"/>
          <c:order val="7"/>
          <c:tx>
            <c:strRef>
              <c:f>Model_3!$A$56</c:f>
              <c:strCache>
                <c:ptCount val="1"/>
                <c:pt idx="0">
                  <c:v> Tree protection fencing ($) </c:v>
                </c:pt>
              </c:strCache>
            </c:strRef>
          </c:tx>
          <c:spPr>
            <a:solidFill>
              <a:schemeClr val="accent2">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Model_3!$B$56:$AY$56</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7-F442-49BD-8615-48C286EACFAD}"/>
            </c:ext>
          </c:extLst>
        </c:ser>
        <c:ser>
          <c:idx val="8"/>
          <c:order val="8"/>
          <c:tx>
            <c:strRef>
              <c:f>Model_3!$A$57</c:f>
              <c:strCache>
                <c:ptCount val="1"/>
                <c:pt idx="0">
                  <c:v> User specified cost item 1 ($/ year) </c:v>
                </c:pt>
              </c:strCache>
            </c:strRef>
          </c:tx>
          <c:spPr>
            <a:solidFill>
              <a:schemeClr val="accent3">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Model_3!$B$57:$AY$57</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8-F442-49BD-8615-48C286EACFAD}"/>
            </c:ext>
          </c:extLst>
        </c:ser>
        <c:ser>
          <c:idx val="9"/>
          <c:order val="9"/>
          <c:tx>
            <c:strRef>
              <c:f>Model_3!$A$58</c:f>
              <c:strCache>
                <c:ptCount val="1"/>
                <c:pt idx="0">
                  <c:v> User specified cost item 2 ($/ year) </c:v>
                </c:pt>
              </c:strCache>
            </c:strRef>
          </c:tx>
          <c:spPr>
            <a:solidFill>
              <a:schemeClr val="accent4">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Model_3!$B$58:$AY$58</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9-F442-49BD-8615-48C286EACFAD}"/>
            </c:ext>
          </c:extLst>
        </c:ser>
        <c:ser>
          <c:idx val="10"/>
          <c:order val="10"/>
          <c:tx>
            <c:strRef>
              <c:f>Model_3!$A$59</c:f>
              <c:strCache>
                <c:ptCount val="1"/>
                <c:pt idx="0">
                  <c:v> Maintenance in first 10 years ($) </c:v>
                </c:pt>
              </c:strCache>
            </c:strRef>
          </c:tx>
          <c:spPr>
            <a:solidFill>
              <a:schemeClr val="accent5">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Model_3!$B$59:$AY$59</c:f>
              <c:numCache>
                <c:formatCode>_-"$"* #,##0_-;\-"$"* #,##0_-;_-"$"* "-"??_-;_-@_-</c:formatCode>
                <c:ptCount val="50"/>
                <c:pt idx="0">
                  <c:v>564.90292281149993</c:v>
                </c:pt>
                <c:pt idx="1">
                  <c:v>564.90292281149993</c:v>
                </c:pt>
                <c:pt idx="2">
                  <c:v>564.90292281149993</c:v>
                </c:pt>
                <c:pt idx="3">
                  <c:v>564.90292281149993</c:v>
                </c:pt>
                <c:pt idx="4">
                  <c:v>564.90292281149993</c:v>
                </c:pt>
                <c:pt idx="5">
                  <c:v>564.90292281149993</c:v>
                </c:pt>
                <c:pt idx="6">
                  <c:v>564.90292281149993</c:v>
                </c:pt>
                <c:pt idx="7">
                  <c:v>564.90292281149993</c:v>
                </c:pt>
                <c:pt idx="8">
                  <c:v>564.90292281149993</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A-F442-49BD-8615-48C286EACFAD}"/>
            </c:ext>
          </c:extLst>
        </c:ser>
        <c:ser>
          <c:idx val="11"/>
          <c:order val="11"/>
          <c:tx>
            <c:strRef>
              <c:f>Model_3!$A$60</c:f>
              <c:strCache>
                <c:ptCount val="1"/>
                <c:pt idx="0">
                  <c:v> Maintenance after year 10 ($) </c:v>
                </c:pt>
              </c:strCache>
            </c:strRef>
          </c:tx>
          <c:spPr>
            <a:solidFill>
              <a:schemeClr val="accent6">
                <a:lumMod val="6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Model_3!$B$60:$AY$60</c:f>
              <c:numCache>
                <c:formatCode>_-"$"* #,##0_-;\-"$"* #,##0_-;_-"$"* "-"??_-;_-@_-</c:formatCode>
                <c:ptCount val="50"/>
                <c:pt idx="0">
                  <c:v>0</c:v>
                </c:pt>
                <c:pt idx="1">
                  <c:v>0</c:v>
                </c:pt>
                <c:pt idx="2">
                  <c:v>0</c:v>
                </c:pt>
                <c:pt idx="3">
                  <c:v>0</c:v>
                </c:pt>
                <c:pt idx="4">
                  <c:v>0</c:v>
                </c:pt>
                <c:pt idx="5">
                  <c:v>0</c:v>
                </c:pt>
                <c:pt idx="6">
                  <c:v>0</c:v>
                </c:pt>
                <c:pt idx="7">
                  <c:v>0</c:v>
                </c:pt>
                <c:pt idx="8">
                  <c:v>0</c:v>
                </c:pt>
                <c:pt idx="9">
                  <c:v>137.28642864299997</c:v>
                </c:pt>
                <c:pt idx="10">
                  <c:v>137.28642864299997</c:v>
                </c:pt>
                <c:pt idx="11">
                  <c:v>137.28642864299997</c:v>
                </c:pt>
                <c:pt idx="12">
                  <c:v>137.28642864299997</c:v>
                </c:pt>
                <c:pt idx="13">
                  <c:v>137.28642864299997</c:v>
                </c:pt>
                <c:pt idx="14">
                  <c:v>137.28642864299997</c:v>
                </c:pt>
                <c:pt idx="15">
                  <c:v>137.28642864299997</c:v>
                </c:pt>
                <c:pt idx="16">
                  <c:v>137.28642864299997</c:v>
                </c:pt>
                <c:pt idx="17">
                  <c:v>137.28642864299997</c:v>
                </c:pt>
                <c:pt idx="18">
                  <c:v>137.28642864299997</c:v>
                </c:pt>
                <c:pt idx="19">
                  <c:v>137.28642864299997</c:v>
                </c:pt>
                <c:pt idx="20">
                  <c:v>137.28642864299997</c:v>
                </c:pt>
                <c:pt idx="21">
                  <c:v>137.28642864299997</c:v>
                </c:pt>
                <c:pt idx="22">
                  <c:v>137.28642864299997</c:v>
                </c:pt>
                <c:pt idx="23">
                  <c:v>137.28642864299997</c:v>
                </c:pt>
                <c:pt idx="24">
                  <c:v>137.28642864299997</c:v>
                </c:pt>
                <c:pt idx="25">
                  <c:v>137.28642864299997</c:v>
                </c:pt>
                <c:pt idx="26">
                  <c:v>137.28642864299997</c:v>
                </c:pt>
                <c:pt idx="27">
                  <c:v>137.28642864299997</c:v>
                </c:pt>
                <c:pt idx="28">
                  <c:v>137.28642864299997</c:v>
                </c:pt>
                <c:pt idx="29">
                  <c:v>137.28642864299997</c:v>
                </c:pt>
                <c:pt idx="30">
                  <c:v>137.28642864299997</c:v>
                </c:pt>
                <c:pt idx="31">
                  <c:v>137.28642864299997</c:v>
                </c:pt>
                <c:pt idx="32">
                  <c:v>137.28642864299997</c:v>
                </c:pt>
                <c:pt idx="33">
                  <c:v>137.28642864299997</c:v>
                </c:pt>
                <c:pt idx="34">
                  <c:v>137.28642864299997</c:v>
                </c:pt>
                <c:pt idx="35">
                  <c:v>137.28642864299997</c:v>
                </c:pt>
                <c:pt idx="36">
                  <c:v>137.28642864299997</c:v>
                </c:pt>
                <c:pt idx="37">
                  <c:v>137.28642864299997</c:v>
                </c:pt>
                <c:pt idx="38">
                  <c:v>137.28642864299997</c:v>
                </c:pt>
                <c:pt idx="39">
                  <c:v>137.28642864299997</c:v>
                </c:pt>
                <c:pt idx="40">
                  <c:v>137.28642864299997</c:v>
                </c:pt>
                <c:pt idx="41">
                  <c:v>137.28642864299997</c:v>
                </c:pt>
                <c:pt idx="42">
                  <c:v>137.28642864299997</c:v>
                </c:pt>
                <c:pt idx="43">
                  <c:v>137.28642864299997</c:v>
                </c:pt>
                <c:pt idx="44">
                  <c:v>137.28642864299997</c:v>
                </c:pt>
                <c:pt idx="45">
                  <c:v>137.28642864299997</c:v>
                </c:pt>
                <c:pt idx="46">
                  <c:v>137.28642864299997</c:v>
                </c:pt>
                <c:pt idx="47">
                  <c:v>137.28642864299997</c:v>
                </c:pt>
                <c:pt idx="48">
                  <c:v>137.28642864299997</c:v>
                </c:pt>
                <c:pt idx="49">
                  <c:v>137.28642864299997</c:v>
                </c:pt>
              </c:numCache>
            </c:numRef>
          </c:val>
          <c:extLst>
            <c:ext xmlns:c16="http://schemas.microsoft.com/office/drawing/2014/chart" uri="{C3380CC4-5D6E-409C-BE32-E72D297353CC}">
              <c16:uniqueId val="{0000000B-F442-49BD-8615-48C286EACFAD}"/>
            </c:ext>
          </c:extLst>
        </c:ser>
        <c:ser>
          <c:idx val="12"/>
          <c:order val="12"/>
          <c:tx>
            <c:strRef>
              <c:f>Model_3!$A$61</c:f>
              <c:strCache>
                <c:ptCount val="1"/>
                <c:pt idx="0">
                  <c:v> GIS mapping and inventory assessment ($) </c:v>
                </c:pt>
              </c:strCache>
            </c:strRef>
          </c:tx>
          <c:spPr>
            <a:solidFill>
              <a:schemeClr val="accent1">
                <a:lumMod val="80000"/>
                <a:lumOff val="2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Model_3!$B$61:$AY$61</c:f>
              <c:numCache>
                <c:formatCode>_-"$"* #,##0_-;\-"$"* #,##0_-;_-"$"* "-"??_-;_-@_-</c:formatCode>
                <c:ptCount val="50"/>
                <c:pt idx="0">
                  <c:v>7500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C-F442-49BD-8615-48C286EACFAD}"/>
            </c:ext>
          </c:extLst>
        </c:ser>
        <c:ser>
          <c:idx val="13"/>
          <c:order val="13"/>
          <c:tx>
            <c:strRef>
              <c:f>Model_3!$A$62</c:f>
              <c:strCache>
                <c:ptCount val="1"/>
                <c:pt idx="0">
                  <c:v> Visual tree inspection ($) </c:v>
                </c:pt>
              </c:strCache>
            </c:strRef>
          </c:tx>
          <c:spPr>
            <a:solidFill>
              <a:schemeClr val="accent2">
                <a:lumMod val="80000"/>
                <a:lumOff val="2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Model_3!$B$62:$AY$62</c:f>
              <c:numCache>
                <c:formatCode>_-"$"* #,##0_-;\-"$"* #,##0_-;_-"$"* "-"??_-;_-@_-</c:formatCode>
                <c:ptCount val="50"/>
                <c:pt idx="0">
                  <c:v>90</c:v>
                </c:pt>
                <c:pt idx="1">
                  <c:v>90</c:v>
                </c:pt>
                <c:pt idx="2">
                  <c:v>90</c:v>
                </c:pt>
                <c:pt idx="3">
                  <c:v>90</c:v>
                </c:pt>
                <c:pt idx="4">
                  <c:v>90</c:v>
                </c:pt>
                <c:pt idx="5">
                  <c:v>90</c:v>
                </c:pt>
                <c:pt idx="6">
                  <c:v>90</c:v>
                </c:pt>
                <c:pt idx="7">
                  <c:v>90</c:v>
                </c:pt>
                <c:pt idx="8">
                  <c:v>90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D-F442-49BD-8615-48C286EACFAD}"/>
            </c:ext>
          </c:extLst>
        </c:ser>
        <c:ser>
          <c:idx val="14"/>
          <c:order val="14"/>
          <c:tx>
            <c:strRef>
              <c:f>Model_3!$A$63</c:f>
              <c:strCache>
                <c:ptCount val="1"/>
                <c:pt idx="0">
                  <c:v> User specified cost item 3 ($/ year) </c:v>
                </c:pt>
              </c:strCache>
            </c:strRef>
          </c:tx>
          <c:spPr>
            <a:solidFill>
              <a:schemeClr val="accent3">
                <a:lumMod val="80000"/>
                <a:lumOff val="2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Model_3!$B$63:$AY$63</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E-F442-49BD-8615-48C286EACFAD}"/>
            </c:ext>
          </c:extLst>
        </c:ser>
        <c:ser>
          <c:idx val="15"/>
          <c:order val="15"/>
          <c:tx>
            <c:strRef>
              <c:f>Model_3!$A$64</c:f>
              <c:strCache>
                <c:ptCount val="1"/>
                <c:pt idx="0">
                  <c:v> User specified cost item 4 ($/ year) </c:v>
                </c:pt>
              </c:strCache>
            </c:strRef>
          </c:tx>
          <c:spPr>
            <a:solidFill>
              <a:schemeClr val="accent4">
                <a:lumMod val="80000"/>
                <a:lumOff val="20000"/>
              </a:schemeClr>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Model_3!$B$64:$AY$64</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0F-F442-49BD-8615-48C286EACFAD}"/>
            </c:ext>
          </c:extLst>
        </c:ser>
        <c:ser>
          <c:idx val="16"/>
          <c:order val="16"/>
          <c:tx>
            <c:strRef>
              <c:f>Model_3!$A$65</c:f>
              <c:strCache>
                <c:ptCount val="1"/>
                <c:pt idx="0">
                  <c:v> User specified cost item 5 ($/ year) </c:v>
                </c:pt>
              </c:strCache>
            </c:strRef>
          </c:tx>
          <c:spPr>
            <a:solidFill>
              <a:srgbClr val="92D050"/>
            </a:solidFill>
            <a:ln>
              <a:noFill/>
            </a:ln>
            <a:effectLst/>
          </c:spPr>
          <c:invertIfNegative val="0"/>
          <c:cat>
            <c:strRef>
              <c:f>Model_3!$B$48:$AY$48</c:f>
              <c:strCache>
                <c:ptCount val="50"/>
                <c:pt idx="0">
                  <c:v> Year 1 </c:v>
                </c:pt>
                <c:pt idx="1">
                  <c:v> Year 2 </c:v>
                </c:pt>
                <c:pt idx="2">
                  <c:v> Year 3 </c:v>
                </c:pt>
                <c:pt idx="3">
                  <c:v> Year 4 </c:v>
                </c:pt>
                <c:pt idx="4">
                  <c:v> Year 5 </c:v>
                </c:pt>
                <c:pt idx="5">
                  <c:v> Year 6 </c:v>
                </c:pt>
                <c:pt idx="6">
                  <c:v> Year 7 </c:v>
                </c:pt>
                <c:pt idx="7">
                  <c:v> Year 8 </c:v>
                </c:pt>
                <c:pt idx="8">
                  <c:v> Year 9 </c:v>
                </c:pt>
                <c:pt idx="9">
                  <c:v> Year 10 </c:v>
                </c:pt>
                <c:pt idx="10">
                  <c:v> Year 11 </c:v>
                </c:pt>
                <c:pt idx="11">
                  <c:v> Year 12 </c:v>
                </c:pt>
                <c:pt idx="12">
                  <c:v> Year 13 </c:v>
                </c:pt>
                <c:pt idx="13">
                  <c:v> Year 14 </c:v>
                </c:pt>
                <c:pt idx="14">
                  <c:v> Year 15 </c:v>
                </c:pt>
                <c:pt idx="15">
                  <c:v> Year 16 </c:v>
                </c:pt>
                <c:pt idx="16">
                  <c:v> Year 17 </c:v>
                </c:pt>
                <c:pt idx="17">
                  <c:v> Year 18 </c:v>
                </c:pt>
                <c:pt idx="18">
                  <c:v> Year 19 </c:v>
                </c:pt>
                <c:pt idx="19">
                  <c:v> Year 20 </c:v>
                </c:pt>
                <c:pt idx="20">
                  <c:v> Year 21 </c:v>
                </c:pt>
                <c:pt idx="21">
                  <c:v> Year 22 </c:v>
                </c:pt>
                <c:pt idx="22">
                  <c:v> Year 23 </c:v>
                </c:pt>
                <c:pt idx="23">
                  <c:v> Year 24 </c:v>
                </c:pt>
                <c:pt idx="24">
                  <c:v> Year 25 </c:v>
                </c:pt>
                <c:pt idx="25">
                  <c:v> Year 26 </c:v>
                </c:pt>
                <c:pt idx="26">
                  <c:v> Year 27 </c:v>
                </c:pt>
                <c:pt idx="27">
                  <c:v> Year 28 </c:v>
                </c:pt>
                <c:pt idx="28">
                  <c:v> Year 29 </c:v>
                </c:pt>
                <c:pt idx="29">
                  <c:v> Year 30 </c:v>
                </c:pt>
                <c:pt idx="30">
                  <c:v> Year 31 </c:v>
                </c:pt>
                <c:pt idx="31">
                  <c:v> Year 32 </c:v>
                </c:pt>
                <c:pt idx="32">
                  <c:v> Year 33 </c:v>
                </c:pt>
                <c:pt idx="33">
                  <c:v> Year 34 </c:v>
                </c:pt>
                <c:pt idx="34">
                  <c:v> Year 35 </c:v>
                </c:pt>
                <c:pt idx="35">
                  <c:v> Year 36 </c:v>
                </c:pt>
                <c:pt idx="36">
                  <c:v> Year 37 </c:v>
                </c:pt>
                <c:pt idx="37">
                  <c:v> Year 38 </c:v>
                </c:pt>
                <c:pt idx="38">
                  <c:v> Year 39 </c:v>
                </c:pt>
                <c:pt idx="39">
                  <c:v> Year 40 </c:v>
                </c:pt>
                <c:pt idx="40">
                  <c:v> Year 41 </c:v>
                </c:pt>
                <c:pt idx="41">
                  <c:v> Year 42 </c:v>
                </c:pt>
                <c:pt idx="42">
                  <c:v> Year 43 </c:v>
                </c:pt>
                <c:pt idx="43">
                  <c:v> Year 44 </c:v>
                </c:pt>
                <c:pt idx="44">
                  <c:v> Year 45 </c:v>
                </c:pt>
                <c:pt idx="45">
                  <c:v> Year 46 </c:v>
                </c:pt>
                <c:pt idx="46">
                  <c:v> Year 47 </c:v>
                </c:pt>
                <c:pt idx="47">
                  <c:v> Year 48 </c:v>
                </c:pt>
                <c:pt idx="48">
                  <c:v> Year 49 </c:v>
                </c:pt>
                <c:pt idx="49">
                  <c:v> Year 50 </c:v>
                </c:pt>
              </c:strCache>
            </c:strRef>
          </c:cat>
          <c:val>
            <c:numRef>
              <c:f>Model_3!$B$65:$AY$65</c:f>
              <c:numCache>
                <c:formatCode>_-"$"* #,##0_-;\-"$"* #,##0_-;_-"$"*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6="http://schemas.microsoft.com/office/drawing/2014/chart" uri="{C3380CC4-5D6E-409C-BE32-E72D297353CC}">
              <c16:uniqueId val="{00000010-F442-49BD-8615-48C286EACFAD}"/>
            </c:ext>
          </c:extLst>
        </c:ser>
        <c:dLbls>
          <c:showLegendKey val="0"/>
          <c:showVal val="0"/>
          <c:showCatName val="0"/>
          <c:showSerName val="0"/>
          <c:showPercent val="0"/>
          <c:showBubbleSize val="0"/>
        </c:dLbls>
        <c:gapWidth val="150"/>
        <c:overlap val="100"/>
        <c:axId val="1154820360"/>
        <c:axId val="1154820688"/>
      </c:barChart>
      <c:catAx>
        <c:axId val="1154820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688"/>
        <c:crosses val="autoZero"/>
        <c:auto val="1"/>
        <c:lblAlgn val="ctr"/>
        <c:lblOffset val="100"/>
        <c:noMultiLvlLbl val="0"/>
      </c:catAx>
      <c:valAx>
        <c:axId val="1154820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Cost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820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Total Cumulative costs PER TREE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Cumulative_Costs_1!$A$83</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Cumulative_Costs_1!$B$83:$AY$83</c:f>
              <c:numCache>
                <c:formatCode>_-"$"* #,##0.0_-;\-"$"* #,##0.0_-;_-"$"* "-"??_-;_-@_-</c:formatCode>
                <c:ptCount val="50"/>
                <c:pt idx="0">
                  <c:v>674.92423190448005</c:v>
                </c:pt>
                <c:pt idx="1">
                  <c:v>763.48423190448011</c:v>
                </c:pt>
                <c:pt idx="2">
                  <c:v>837.86848190447995</c:v>
                </c:pt>
                <c:pt idx="3">
                  <c:v>914.11233815448008</c:v>
                </c:pt>
                <c:pt idx="4">
                  <c:v>992.26229081072995</c:v>
                </c:pt>
                <c:pt idx="5">
                  <c:v>1072.3659922833863</c:v>
                </c:pt>
                <c:pt idx="6">
                  <c:v>1154.4722862928586</c:v>
                </c:pt>
                <c:pt idx="7">
                  <c:v>1238.6312376525684</c:v>
                </c:pt>
                <c:pt idx="8">
                  <c:v>1324.8941627962706</c:v>
                </c:pt>
                <c:pt idx="9">
                  <c:v>1413.3136610685651</c:v>
                </c:pt>
                <c:pt idx="10">
                  <c:v>1503.9436467976675</c:v>
                </c:pt>
                <c:pt idx="11">
                  <c:v>1596.839382169997</c:v>
                </c:pt>
                <c:pt idx="12">
                  <c:v>1692.0575109266351</c:v>
                </c:pt>
                <c:pt idx="13">
                  <c:v>1789.6560929021887</c:v>
                </c:pt>
                <c:pt idx="14">
                  <c:v>1889.6946394271315</c:v>
                </c:pt>
                <c:pt idx="15">
                  <c:v>1992.2341496151973</c:v>
                </c:pt>
                <c:pt idx="16">
                  <c:v>2097.3371475579656</c:v>
                </c:pt>
                <c:pt idx="17">
                  <c:v>2205.0677204493022</c:v>
                </c:pt>
                <c:pt idx="18">
                  <c:v>2315.4915576629228</c:v>
                </c:pt>
                <c:pt idx="19">
                  <c:v>2428.6759908068839</c:v>
                </c:pt>
                <c:pt idx="20">
                  <c:v>2544.690034779444</c:v>
                </c:pt>
                <c:pt idx="21">
                  <c:v>2663.6044298513175</c:v>
                </c:pt>
                <c:pt idx="22">
                  <c:v>2785.4916847999889</c:v>
                </c:pt>
                <c:pt idx="23">
                  <c:v>2910.4261211223761</c:v>
                </c:pt>
                <c:pt idx="24">
                  <c:v>3038.4839183528234</c:v>
                </c:pt>
                <c:pt idx="25">
                  <c:v>3169.7431605140323</c:v>
                </c:pt>
                <c:pt idx="26">
                  <c:v>3304.2838837292707</c:v>
                </c:pt>
                <c:pt idx="27">
                  <c:v>3442.1881250248903</c:v>
                </c:pt>
                <c:pt idx="28">
                  <c:v>3583.5399723528999</c:v>
                </c:pt>
                <c:pt idx="29">
                  <c:v>3728.4256158641101</c:v>
                </c:pt>
                <c:pt idx="30">
                  <c:v>3876.933400463101</c:v>
                </c:pt>
                <c:pt idx="31">
                  <c:v>4029.1538796770669</c:v>
                </c:pt>
                <c:pt idx="32">
                  <c:v>4185.1798708713804</c:v>
                </c:pt>
                <c:pt idx="33">
                  <c:v>4345.1065118455535</c:v>
                </c:pt>
                <c:pt idx="34">
                  <c:v>4509.0313188440796</c:v>
                </c:pt>
                <c:pt idx="35">
                  <c:v>4677.0542460175693</c:v>
                </c:pt>
                <c:pt idx="36">
                  <c:v>4849.2777463703969</c:v>
                </c:pt>
                <c:pt idx="37">
                  <c:v>5025.8068342320448</c:v>
                </c:pt>
                <c:pt idx="38">
                  <c:v>5206.7491492902327</c:v>
                </c:pt>
                <c:pt idx="39">
                  <c:v>5392.2150222248765</c:v>
                </c:pt>
                <c:pt idx="40">
                  <c:v>5582.3175419828867</c:v>
                </c:pt>
                <c:pt idx="41">
                  <c:v>5777.1726247348461</c:v>
                </c:pt>
                <c:pt idx="42">
                  <c:v>5976.8990845556054</c:v>
                </c:pt>
                <c:pt idx="43">
                  <c:v>6181.6187058718842</c:v>
                </c:pt>
                <c:pt idx="44">
                  <c:v>6391.4563177210684</c:v>
                </c:pt>
                <c:pt idx="45">
                  <c:v>6606.5398698664821</c:v>
                </c:pt>
                <c:pt idx="46">
                  <c:v>6827.000510815531</c:v>
                </c:pt>
                <c:pt idx="47">
                  <c:v>7052.9726677883082</c:v>
                </c:pt>
                <c:pt idx="48">
                  <c:v>7284.5941286854031</c:v>
                </c:pt>
                <c:pt idx="49">
                  <c:v>7522.0061261049259</c:v>
                </c:pt>
              </c:numCache>
            </c:numRef>
          </c:val>
          <c:smooth val="0"/>
          <c:extLst>
            <c:ext xmlns:c16="http://schemas.microsoft.com/office/drawing/2014/chart" uri="{C3380CC4-5D6E-409C-BE32-E72D297353CC}">
              <c16:uniqueId val="{00000000-4EF2-4FDE-91F6-B4859B62AD14}"/>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quot;$&quot;* #,##0.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Cumulative costs PER TREE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Cumulative_Costs_1!$A$61</c:f>
              <c:strCache>
                <c:ptCount val="1"/>
                <c:pt idx="0">
                  <c:v> Concrete cutting ($)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Cumulative_Costs_1!$B$61:$AY$61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0-FE52-4B86-BD66-4589972F1F98}"/>
            </c:ext>
          </c:extLst>
        </c:ser>
        <c:ser>
          <c:idx val="1"/>
          <c:order val="1"/>
          <c:tx>
            <c:strRef>
              <c:f>Cumulative_Costs_1!$A$62</c:f>
              <c:strCache>
                <c:ptCount val="1"/>
                <c:pt idx="0">
                  <c:v> Supply ($)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Cumulative_Costs_1!$B$62:$AY$62</c:f>
              <c:numCache>
                <c:formatCode>_-"$"* #,##0.0_-;\-"$"* #,##0.0_-;_-"$"* "-"??_-;_-@_-</c:formatCode>
                <c:ptCount val="50"/>
                <c:pt idx="0">
                  <c:v>186.87190075840002</c:v>
                </c:pt>
                <c:pt idx="1">
                  <c:v>186.87190075840002</c:v>
                </c:pt>
                <c:pt idx="2">
                  <c:v>186.87190075840002</c:v>
                </c:pt>
                <c:pt idx="3">
                  <c:v>186.87190075840002</c:v>
                </c:pt>
                <c:pt idx="4">
                  <c:v>186.87190075840002</c:v>
                </c:pt>
                <c:pt idx="5">
                  <c:v>186.87190075840002</c:v>
                </c:pt>
                <c:pt idx="6">
                  <c:v>186.87190075840002</c:v>
                </c:pt>
                <c:pt idx="7">
                  <c:v>186.87190075840002</c:v>
                </c:pt>
                <c:pt idx="8">
                  <c:v>186.87190075840002</c:v>
                </c:pt>
                <c:pt idx="9">
                  <c:v>186.87190075840002</c:v>
                </c:pt>
                <c:pt idx="10">
                  <c:v>186.87190075840002</c:v>
                </c:pt>
                <c:pt idx="11">
                  <c:v>186.87190075840002</c:v>
                </c:pt>
                <c:pt idx="12">
                  <c:v>186.87190075840002</c:v>
                </c:pt>
                <c:pt idx="13">
                  <c:v>186.87190075840002</c:v>
                </c:pt>
                <c:pt idx="14">
                  <c:v>186.87190075840002</c:v>
                </c:pt>
                <c:pt idx="15">
                  <c:v>186.87190075840002</c:v>
                </c:pt>
                <c:pt idx="16">
                  <c:v>186.87190075840002</c:v>
                </c:pt>
                <c:pt idx="17">
                  <c:v>186.87190075840002</c:v>
                </c:pt>
                <c:pt idx="18">
                  <c:v>186.87190075840002</c:v>
                </c:pt>
                <c:pt idx="19">
                  <c:v>186.87190075840002</c:v>
                </c:pt>
                <c:pt idx="20">
                  <c:v>186.87190075840002</c:v>
                </c:pt>
                <c:pt idx="21">
                  <c:v>186.87190075840002</c:v>
                </c:pt>
                <c:pt idx="22">
                  <c:v>186.87190075840002</c:v>
                </c:pt>
                <c:pt idx="23">
                  <c:v>186.87190075840002</c:v>
                </c:pt>
                <c:pt idx="24">
                  <c:v>186.87190075840002</c:v>
                </c:pt>
                <c:pt idx="25">
                  <c:v>186.87190075840002</c:v>
                </c:pt>
                <c:pt idx="26">
                  <c:v>186.87190075840002</c:v>
                </c:pt>
                <c:pt idx="27">
                  <c:v>186.87190075840002</c:v>
                </c:pt>
                <c:pt idx="28">
                  <c:v>186.87190075840002</c:v>
                </c:pt>
                <c:pt idx="29">
                  <c:v>186.87190075840002</c:v>
                </c:pt>
                <c:pt idx="30">
                  <c:v>186.87190075840002</c:v>
                </c:pt>
                <c:pt idx="31">
                  <c:v>186.87190075840002</c:v>
                </c:pt>
                <c:pt idx="32">
                  <c:v>186.87190075840002</c:v>
                </c:pt>
                <c:pt idx="33">
                  <c:v>186.87190075840002</c:v>
                </c:pt>
                <c:pt idx="34">
                  <c:v>186.87190075840002</c:v>
                </c:pt>
                <c:pt idx="35">
                  <c:v>186.87190075840002</c:v>
                </c:pt>
                <c:pt idx="36">
                  <c:v>186.87190075840002</c:v>
                </c:pt>
                <c:pt idx="37">
                  <c:v>186.87190075840002</c:v>
                </c:pt>
                <c:pt idx="38">
                  <c:v>186.87190075840002</c:v>
                </c:pt>
                <c:pt idx="39">
                  <c:v>186.87190075840002</c:v>
                </c:pt>
                <c:pt idx="40">
                  <c:v>186.87190075840002</c:v>
                </c:pt>
                <c:pt idx="41">
                  <c:v>186.87190075840002</c:v>
                </c:pt>
                <c:pt idx="42">
                  <c:v>186.87190075840002</c:v>
                </c:pt>
                <c:pt idx="43">
                  <c:v>186.87190075840002</c:v>
                </c:pt>
                <c:pt idx="44">
                  <c:v>186.87190075840002</c:v>
                </c:pt>
                <c:pt idx="45">
                  <c:v>186.87190075840002</c:v>
                </c:pt>
                <c:pt idx="46">
                  <c:v>186.87190075840002</c:v>
                </c:pt>
                <c:pt idx="47">
                  <c:v>186.87190075840002</c:v>
                </c:pt>
                <c:pt idx="48">
                  <c:v>186.87190075840002</c:v>
                </c:pt>
                <c:pt idx="49">
                  <c:v>186.87190075840002</c:v>
                </c:pt>
              </c:numCache>
            </c:numRef>
          </c:val>
          <c:smooth val="0"/>
          <c:extLst>
            <c:ext xmlns:c16="http://schemas.microsoft.com/office/drawing/2014/chart" uri="{C3380CC4-5D6E-409C-BE32-E72D297353CC}">
              <c16:uniqueId val="{00000001-FE52-4B86-BD66-4589972F1F98}"/>
            </c:ext>
          </c:extLst>
        </c:ser>
        <c:ser>
          <c:idx val="2"/>
          <c:order val="2"/>
          <c:tx>
            <c:strRef>
              <c:f>Cumulative_Costs_1!$A$63</c:f>
              <c:strCache>
                <c:ptCount val="1"/>
                <c:pt idx="0">
                  <c:v> Tree installation ($) </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Cumulative_Costs_1!$B$63:$AY$63</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2-FE52-4B86-BD66-4589972F1F98}"/>
            </c:ext>
          </c:extLst>
        </c:ser>
        <c:ser>
          <c:idx val="3"/>
          <c:order val="3"/>
          <c:tx>
            <c:strRef>
              <c:f>Cumulative_Costs_1!$A$64</c:f>
              <c:strCache>
                <c:ptCount val="1"/>
                <c:pt idx="0">
                  <c:v> Unbundled installation </c:v>
                </c:pt>
              </c:strCache>
            </c:strRef>
          </c:tx>
          <c:spPr>
            <a:ln w="22225" cap="rnd">
              <a:solidFill>
                <a:schemeClr val="accent4"/>
              </a:solidFill>
              <a:round/>
            </a:ln>
            <a:effectLst/>
          </c:spPr>
          <c:marker>
            <c:symbol val="x"/>
            <c:size val="6"/>
            <c:spPr>
              <a:noFill/>
              <a:ln w="9525">
                <a:solidFill>
                  <a:schemeClr val="accent4"/>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Cumulative_Costs_1!$B$64:$AY$64</c:f>
              <c:numCache>
                <c:formatCode>_-"$"* #,##0.0_-;\-"$"* #,##0.0_-;_-"$"* "-"??_-;_-@_-</c:formatCode>
                <c:ptCount val="50"/>
                <c:pt idx="0">
                  <c:v>24.333333333333336</c:v>
                </c:pt>
                <c:pt idx="1">
                  <c:v>24.333333333333336</c:v>
                </c:pt>
                <c:pt idx="2">
                  <c:v>24.333333333333336</c:v>
                </c:pt>
                <c:pt idx="3">
                  <c:v>24.333333333333336</c:v>
                </c:pt>
                <c:pt idx="4">
                  <c:v>24.333333333333336</c:v>
                </c:pt>
                <c:pt idx="5">
                  <c:v>24.333333333333336</c:v>
                </c:pt>
                <c:pt idx="6">
                  <c:v>24.333333333333336</c:v>
                </c:pt>
                <c:pt idx="7">
                  <c:v>24.333333333333336</c:v>
                </c:pt>
                <c:pt idx="8">
                  <c:v>24.333333333333336</c:v>
                </c:pt>
                <c:pt idx="9">
                  <c:v>24.333333333333336</c:v>
                </c:pt>
                <c:pt idx="10">
                  <c:v>24.333333333333336</c:v>
                </c:pt>
                <c:pt idx="11">
                  <c:v>24.333333333333336</c:v>
                </c:pt>
                <c:pt idx="12">
                  <c:v>24.333333333333336</c:v>
                </c:pt>
                <c:pt idx="13">
                  <c:v>24.333333333333336</c:v>
                </c:pt>
                <c:pt idx="14">
                  <c:v>24.333333333333336</c:v>
                </c:pt>
                <c:pt idx="15">
                  <c:v>24.333333333333336</c:v>
                </c:pt>
                <c:pt idx="16">
                  <c:v>24.333333333333336</c:v>
                </c:pt>
                <c:pt idx="17">
                  <c:v>24.333333333333336</c:v>
                </c:pt>
                <c:pt idx="18">
                  <c:v>24.333333333333336</c:v>
                </c:pt>
                <c:pt idx="19">
                  <c:v>24.333333333333336</c:v>
                </c:pt>
                <c:pt idx="20">
                  <c:v>24.333333333333336</c:v>
                </c:pt>
                <c:pt idx="21">
                  <c:v>24.333333333333336</c:v>
                </c:pt>
                <c:pt idx="22">
                  <c:v>24.333333333333336</c:v>
                </c:pt>
                <c:pt idx="23">
                  <c:v>24.333333333333336</c:v>
                </c:pt>
                <c:pt idx="24">
                  <c:v>24.333333333333336</c:v>
                </c:pt>
                <c:pt idx="25">
                  <c:v>24.333333333333336</c:v>
                </c:pt>
                <c:pt idx="26">
                  <c:v>24.333333333333336</c:v>
                </c:pt>
                <c:pt idx="27">
                  <c:v>24.333333333333336</c:v>
                </c:pt>
                <c:pt idx="28">
                  <c:v>24.333333333333336</c:v>
                </c:pt>
                <c:pt idx="29">
                  <c:v>24.333333333333336</c:v>
                </c:pt>
                <c:pt idx="30">
                  <c:v>24.333333333333336</c:v>
                </c:pt>
                <c:pt idx="31">
                  <c:v>24.333333333333336</c:v>
                </c:pt>
                <c:pt idx="32">
                  <c:v>24.333333333333336</c:v>
                </c:pt>
                <c:pt idx="33">
                  <c:v>24.333333333333336</c:v>
                </c:pt>
                <c:pt idx="34">
                  <c:v>24.333333333333336</c:v>
                </c:pt>
                <c:pt idx="35">
                  <c:v>24.333333333333336</c:v>
                </c:pt>
                <c:pt idx="36">
                  <c:v>24.333333333333336</c:v>
                </c:pt>
                <c:pt idx="37">
                  <c:v>24.333333333333336</c:v>
                </c:pt>
                <c:pt idx="38">
                  <c:v>24.333333333333336</c:v>
                </c:pt>
                <c:pt idx="39">
                  <c:v>24.333333333333336</c:v>
                </c:pt>
                <c:pt idx="40">
                  <c:v>24.333333333333336</c:v>
                </c:pt>
                <c:pt idx="41">
                  <c:v>24.333333333333336</c:v>
                </c:pt>
                <c:pt idx="42">
                  <c:v>24.333333333333336</c:v>
                </c:pt>
                <c:pt idx="43">
                  <c:v>24.333333333333336</c:v>
                </c:pt>
                <c:pt idx="44">
                  <c:v>24.333333333333336</c:v>
                </c:pt>
                <c:pt idx="45">
                  <c:v>24.333333333333336</c:v>
                </c:pt>
                <c:pt idx="46">
                  <c:v>24.333333333333336</c:v>
                </c:pt>
                <c:pt idx="47">
                  <c:v>24.333333333333336</c:v>
                </c:pt>
                <c:pt idx="48">
                  <c:v>24.333333333333336</c:v>
                </c:pt>
                <c:pt idx="49">
                  <c:v>24.333333333333336</c:v>
                </c:pt>
              </c:numCache>
            </c:numRef>
          </c:val>
          <c:smooth val="0"/>
          <c:extLst>
            <c:ext xmlns:c16="http://schemas.microsoft.com/office/drawing/2014/chart" uri="{C3380CC4-5D6E-409C-BE32-E72D297353CC}">
              <c16:uniqueId val="{00000003-FE52-4B86-BD66-4589972F1F98}"/>
            </c:ext>
          </c:extLst>
        </c:ser>
        <c:ser>
          <c:idx val="4"/>
          <c:order val="4"/>
          <c:tx>
            <c:strRef>
              <c:f>Cumulative_Costs_1!$A$65</c:f>
              <c:strCache>
                <c:ptCount val="1"/>
                <c:pt idx="0">
                  <c:v> Mulch cost ($/m3) </c:v>
                </c:pt>
              </c:strCache>
            </c:strRef>
          </c:tx>
          <c:spPr>
            <a:ln w="22225" cap="rnd">
              <a:solidFill>
                <a:schemeClr val="accent5"/>
              </a:solidFill>
              <a:round/>
            </a:ln>
            <a:effectLst/>
          </c:spPr>
          <c:marker>
            <c:symbol val="star"/>
            <c:size val="6"/>
            <c:spPr>
              <a:noFill/>
              <a:ln w="9525">
                <a:solidFill>
                  <a:schemeClr val="accent5"/>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Cumulative_Costs_1!$B$65:$AY$65</c:f>
              <c:numCache>
                <c:formatCode>_-"$"* #,##0.0_-;\-"$"* #,##0.0_-;_-"$"* "-"??_-;_-@_-</c:formatCode>
                <c:ptCount val="50"/>
                <c:pt idx="0">
                  <c:v>9.7683311460799995</c:v>
                </c:pt>
                <c:pt idx="1">
                  <c:v>9.7683311460799995</c:v>
                </c:pt>
                <c:pt idx="2">
                  <c:v>9.7683311460799995</c:v>
                </c:pt>
                <c:pt idx="3">
                  <c:v>9.7683311460799995</c:v>
                </c:pt>
                <c:pt idx="4">
                  <c:v>9.7683311460799995</c:v>
                </c:pt>
                <c:pt idx="5">
                  <c:v>9.7683311460799995</c:v>
                </c:pt>
                <c:pt idx="6">
                  <c:v>9.7683311460799995</c:v>
                </c:pt>
                <c:pt idx="7">
                  <c:v>9.7683311460799995</c:v>
                </c:pt>
                <c:pt idx="8">
                  <c:v>9.7683311460799995</c:v>
                </c:pt>
                <c:pt idx="9">
                  <c:v>9.7683311460799995</c:v>
                </c:pt>
                <c:pt idx="10">
                  <c:v>9.7683311460799995</c:v>
                </c:pt>
                <c:pt idx="11">
                  <c:v>9.7683311460799995</c:v>
                </c:pt>
                <c:pt idx="12">
                  <c:v>9.7683311460799995</c:v>
                </c:pt>
                <c:pt idx="13">
                  <c:v>9.7683311460799995</c:v>
                </c:pt>
                <c:pt idx="14">
                  <c:v>9.7683311460799995</c:v>
                </c:pt>
                <c:pt idx="15">
                  <c:v>9.7683311460799995</c:v>
                </c:pt>
                <c:pt idx="16">
                  <c:v>9.7683311460799995</c:v>
                </c:pt>
                <c:pt idx="17">
                  <c:v>9.7683311460799995</c:v>
                </c:pt>
                <c:pt idx="18">
                  <c:v>9.7683311460799995</c:v>
                </c:pt>
                <c:pt idx="19">
                  <c:v>9.7683311460799995</c:v>
                </c:pt>
                <c:pt idx="20">
                  <c:v>9.7683311460799995</c:v>
                </c:pt>
                <c:pt idx="21">
                  <c:v>9.7683311460799995</c:v>
                </c:pt>
                <c:pt idx="22">
                  <c:v>9.7683311460799995</c:v>
                </c:pt>
                <c:pt idx="23">
                  <c:v>9.7683311460799995</c:v>
                </c:pt>
                <c:pt idx="24">
                  <c:v>9.7683311460799995</c:v>
                </c:pt>
                <c:pt idx="25">
                  <c:v>9.7683311460799995</c:v>
                </c:pt>
                <c:pt idx="26">
                  <c:v>9.7683311460799995</c:v>
                </c:pt>
                <c:pt idx="27">
                  <c:v>9.7683311460799995</c:v>
                </c:pt>
                <c:pt idx="28">
                  <c:v>9.7683311460799995</c:v>
                </c:pt>
                <c:pt idx="29">
                  <c:v>9.7683311460799995</c:v>
                </c:pt>
                <c:pt idx="30">
                  <c:v>9.7683311460799995</c:v>
                </c:pt>
                <c:pt idx="31">
                  <c:v>9.7683311460799995</c:v>
                </c:pt>
                <c:pt idx="32">
                  <c:v>9.7683311460799995</c:v>
                </c:pt>
                <c:pt idx="33">
                  <c:v>9.7683311460799995</c:v>
                </c:pt>
                <c:pt idx="34">
                  <c:v>9.7683311460799995</c:v>
                </c:pt>
                <c:pt idx="35">
                  <c:v>9.7683311460799995</c:v>
                </c:pt>
                <c:pt idx="36">
                  <c:v>9.7683311460799995</c:v>
                </c:pt>
                <c:pt idx="37">
                  <c:v>9.7683311460799995</c:v>
                </c:pt>
                <c:pt idx="38">
                  <c:v>9.7683311460799995</c:v>
                </c:pt>
                <c:pt idx="39">
                  <c:v>9.7683311460799995</c:v>
                </c:pt>
                <c:pt idx="40">
                  <c:v>9.7683311460799995</c:v>
                </c:pt>
                <c:pt idx="41">
                  <c:v>9.7683311460799995</c:v>
                </c:pt>
                <c:pt idx="42">
                  <c:v>9.7683311460799995</c:v>
                </c:pt>
                <c:pt idx="43">
                  <c:v>9.7683311460799995</c:v>
                </c:pt>
                <c:pt idx="44">
                  <c:v>9.7683311460799995</c:v>
                </c:pt>
                <c:pt idx="45">
                  <c:v>9.7683311460799995</c:v>
                </c:pt>
                <c:pt idx="46">
                  <c:v>9.7683311460799995</c:v>
                </c:pt>
                <c:pt idx="47">
                  <c:v>9.7683311460799995</c:v>
                </c:pt>
                <c:pt idx="48">
                  <c:v>9.7683311460799995</c:v>
                </c:pt>
                <c:pt idx="49">
                  <c:v>9.7683311460799995</c:v>
                </c:pt>
              </c:numCache>
            </c:numRef>
          </c:val>
          <c:smooth val="0"/>
          <c:extLst>
            <c:ext xmlns:c16="http://schemas.microsoft.com/office/drawing/2014/chart" uri="{C3380CC4-5D6E-409C-BE32-E72D297353CC}">
              <c16:uniqueId val="{00000004-FE52-4B86-BD66-4589972F1F98}"/>
            </c:ext>
          </c:extLst>
        </c:ser>
        <c:ser>
          <c:idx val="5"/>
          <c:order val="5"/>
          <c:tx>
            <c:strRef>
              <c:f>Cumulative_Costs_1!$A$66</c:f>
              <c:strCache>
                <c:ptCount val="1"/>
                <c:pt idx="0">
                  <c:v> Stakes and ties ($) </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Cumulative_Costs_1!$B$66:$AY$66</c:f>
              <c:numCache>
                <c:formatCode>_-"$"* #,##0.0_-;\-"$"* #,##0.0_-;_-"$"* "-"??_-;_-@_-</c:formatCode>
                <c:ptCount val="50"/>
                <c:pt idx="0">
                  <c:v>124.80000000000001</c:v>
                </c:pt>
                <c:pt idx="1">
                  <c:v>124.80000000000001</c:v>
                </c:pt>
                <c:pt idx="2">
                  <c:v>124.80000000000001</c:v>
                </c:pt>
                <c:pt idx="3">
                  <c:v>124.80000000000001</c:v>
                </c:pt>
                <c:pt idx="4">
                  <c:v>124.80000000000001</c:v>
                </c:pt>
                <c:pt idx="5">
                  <c:v>124.80000000000001</c:v>
                </c:pt>
                <c:pt idx="6">
                  <c:v>124.80000000000001</c:v>
                </c:pt>
                <c:pt idx="7">
                  <c:v>124.80000000000001</c:v>
                </c:pt>
                <c:pt idx="8">
                  <c:v>124.80000000000001</c:v>
                </c:pt>
                <c:pt idx="9">
                  <c:v>124.80000000000001</c:v>
                </c:pt>
                <c:pt idx="10">
                  <c:v>124.80000000000001</c:v>
                </c:pt>
                <c:pt idx="11">
                  <c:v>124.80000000000001</c:v>
                </c:pt>
                <c:pt idx="12">
                  <c:v>124.80000000000001</c:v>
                </c:pt>
                <c:pt idx="13">
                  <c:v>124.80000000000001</c:v>
                </c:pt>
                <c:pt idx="14">
                  <c:v>124.80000000000001</c:v>
                </c:pt>
                <c:pt idx="15">
                  <c:v>124.80000000000001</c:v>
                </c:pt>
                <c:pt idx="16">
                  <c:v>124.80000000000001</c:v>
                </c:pt>
                <c:pt idx="17">
                  <c:v>124.80000000000001</c:v>
                </c:pt>
                <c:pt idx="18">
                  <c:v>124.80000000000001</c:v>
                </c:pt>
                <c:pt idx="19">
                  <c:v>124.80000000000001</c:v>
                </c:pt>
                <c:pt idx="20">
                  <c:v>124.80000000000001</c:v>
                </c:pt>
                <c:pt idx="21">
                  <c:v>124.80000000000001</c:v>
                </c:pt>
                <c:pt idx="22">
                  <c:v>124.80000000000001</c:v>
                </c:pt>
                <c:pt idx="23">
                  <c:v>124.80000000000001</c:v>
                </c:pt>
                <c:pt idx="24">
                  <c:v>124.80000000000001</c:v>
                </c:pt>
                <c:pt idx="25">
                  <c:v>124.80000000000001</c:v>
                </c:pt>
                <c:pt idx="26">
                  <c:v>124.80000000000001</c:v>
                </c:pt>
                <c:pt idx="27">
                  <c:v>124.80000000000001</c:v>
                </c:pt>
                <c:pt idx="28">
                  <c:v>124.80000000000001</c:v>
                </c:pt>
                <c:pt idx="29">
                  <c:v>124.80000000000001</c:v>
                </c:pt>
                <c:pt idx="30">
                  <c:v>124.80000000000001</c:v>
                </c:pt>
                <c:pt idx="31">
                  <c:v>124.80000000000001</c:v>
                </c:pt>
                <c:pt idx="32">
                  <c:v>124.80000000000001</c:v>
                </c:pt>
                <c:pt idx="33">
                  <c:v>124.80000000000001</c:v>
                </c:pt>
                <c:pt idx="34">
                  <c:v>124.80000000000001</c:v>
                </c:pt>
                <c:pt idx="35">
                  <c:v>124.80000000000001</c:v>
                </c:pt>
                <c:pt idx="36">
                  <c:v>124.80000000000001</c:v>
                </c:pt>
                <c:pt idx="37">
                  <c:v>124.80000000000001</c:v>
                </c:pt>
                <c:pt idx="38">
                  <c:v>124.80000000000001</c:v>
                </c:pt>
                <c:pt idx="39">
                  <c:v>124.80000000000001</c:v>
                </c:pt>
                <c:pt idx="40">
                  <c:v>124.80000000000001</c:v>
                </c:pt>
                <c:pt idx="41">
                  <c:v>124.80000000000001</c:v>
                </c:pt>
                <c:pt idx="42">
                  <c:v>124.80000000000001</c:v>
                </c:pt>
                <c:pt idx="43">
                  <c:v>124.80000000000001</c:v>
                </c:pt>
                <c:pt idx="44">
                  <c:v>124.80000000000001</c:v>
                </c:pt>
                <c:pt idx="45">
                  <c:v>124.80000000000001</c:v>
                </c:pt>
                <c:pt idx="46">
                  <c:v>124.80000000000001</c:v>
                </c:pt>
                <c:pt idx="47">
                  <c:v>124.80000000000001</c:v>
                </c:pt>
                <c:pt idx="48">
                  <c:v>124.80000000000001</c:v>
                </c:pt>
                <c:pt idx="49">
                  <c:v>124.80000000000001</c:v>
                </c:pt>
              </c:numCache>
            </c:numRef>
          </c:val>
          <c:smooth val="0"/>
          <c:extLst>
            <c:ext xmlns:c16="http://schemas.microsoft.com/office/drawing/2014/chart" uri="{C3380CC4-5D6E-409C-BE32-E72D297353CC}">
              <c16:uniqueId val="{00000005-FE52-4B86-BD66-4589972F1F98}"/>
            </c:ext>
          </c:extLst>
        </c:ser>
        <c:ser>
          <c:idx val="6"/>
          <c:order val="6"/>
          <c:tx>
            <c:strRef>
              <c:f>Cumulative_Costs_1!$A$67</c:f>
              <c:strCache>
                <c:ptCount val="1"/>
                <c:pt idx="0">
                  <c:v> Tree removal </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Cumulative_Costs_1!$B$67:$AY$67</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6-FE52-4B86-BD66-4589972F1F98}"/>
            </c:ext>
          </c:extLst>
        </c:ser>
        <c:ser>
          <c:idx val="7"/>
          <c:order val="7"/>
          <c:tx>
            <c:strRef>
              <c:f>Cumulative_Costs_1!$A$68</c:f>
              <c:strCache>
                <c:ptCount val="1"/>
                <c:pt idx="0">
                  <c:v> Soil cost ($/m3) </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Cumulative_Costs_1!$B$68:$AY$68</c:f>
              <c:numCache>
                <c:formatCode>_-"$"* #,##0.0_-;\-"$"* #,##0.0_-;_-"$"* "-"??_-;_-@_-</c:formatCode>
                <c:ptCount val="50"/>
                <c:pt idx="0">
                  <c:v>31.824000000000002</c:v>
                </c:pt>
                <c:pt idx="1">
                  <c:v>31.824000000000002</c:v>
                </c:pt>
                <c:pt idx="2">
                  <c:v>31.824000000000002</c:v>
                </c:pt>
                <c:pt idx="3">
                  <c:v>31.824000000000002</c:v>
                </c:pt>
                <c:pt idx="4">
                  <c:v>31.824000000000002</c:v>
                </c:pt>
                <c:pt idx="5">
                  <c:v>31.824000000000002</c:v>
                </c:pt>
                <c:pt idx="6">
                  <c:v>31.824000000000002</c:v>
                </c:pt>
                <c:pt idx="7">
                  <c:v>31.824000000000002</c:v>
                </c:pt>
                <c:pt idx="8">
                  <c:v>31.824000000000002</c:v>
                </c:pt>
                <c:pt idx="9">
                  <c:v>31.824000000000002</c:v>
                </c:pt>
                <c:pt idx="10">
                  <c:v>31.824000000000002</c:v>
                </c:pt>
                <c:pt idx="11">
                  <c:v>31.824000000000002</c:v>
                </c:pt>
                <c:pt idx="12">
                  <c:v>31.824000000000002</c:v>
                </c:pt>
                <c:pt idx="13">
                  <c:v>31.824000000000002</c:v>
                </c:pt>
                <c:pt idx="14">
                  <c:v>31.824000000000002</c:v>
                </c:pt>
                <c:pt idx="15">
                  <c:v>31.824000000000002</c:v>
                </c:pt>
                <c:pt idx="16">
                  <c:v>31.824000000000002</c:v>
                </c:pt>
                <c:pt idx="17">
                  <c:v>31.824000000000002</c:v>
                </c:pt>
                <c:pt idx="18">
                  <c:v>31.824000000000002</c:v>
                </c:pt>
                <c:pt idx="19">
                  <c:v>31.824000000000002</c:v>
                </c:pt>
                <c:pt idx="20">
                  <c:v>31.824000000000002</c:v>
                </c:pt>
                <c:pt idx="21">
                  <c:v>31.824000000000002</c:v>
                </c:pt>
                <c:pt idx="22">
                  <c:v>31.824000000000002</c:v>
                </c:pt>
                <c:pt idx="23">
                  <c:v>31.824000000000002</c:v>
                </c:pt>
                <c:pt idx="24">
                  <c:v>31.824000000000002</c:v>
                </c:pt>
                <c:pt idx="25">
                  <c:v>31.824000000000002</c:v>
                </c:pt>
                <c:pt idx="26">
                  <c:v>31.824000000000002</c:v>
                </c:pt>
                <c:pt idx="27">
                  <c:v>31.824000000000002</c:v>
                </c:pt>
                <c:pt idx="28">
                  <c:v>31.824000000000002</c:v>
                </c:pt>
                <c:pt idx="29">
                  <c:v>31.824000000000002</c:v>
                </c:pt>
                <c:pt idx="30">
                  <c:v>31.824000000000002</c:v>
                </c:pt>
                <c:pt idx="31">
                  <c:v>31.824000000000002</c:v>
                </c:pt>
                <c:pt idx="32">
                  <c:v>31.824000000000002</c:v>
                </c:pt>
                <c:pt idx="33">
                  <c:v>31.824000000000002</c:v>
                </c:pt>
                <c:pt idx="34">
                  <c:v>31.824000000000002</c:v>
                </c:pt>
                <c:pt idx="35">
                  <c:v>31.824000000000002</c:v>
                </c:pt>
                <c:pt idx="36">
                  <c:v>31.824000000000002</c:v>
                </c:pt>
                <c:pt idx="37">
                  <c:v>31.824000000000002</c:v>
                </c:pt>
                <c:pt idx="38">
                  <c:v>31.824000000000002</c:v>
                </c:pt>
                <c:pt idx="39">
                  <c:v>31.824000000000002</c:v>
                </c:pt>
                <c:pt idx="40">
                  <c:v>31.824000000000002</c:v>
                </c:pt>
                <c:pt idx="41">
                  <c:v>31.824000000000002</c:v>
                </c:pt>
                <c:pt idx="42">
                  <c:v>31.824000000000002</c:v>
                </c:pt>
                <c:pt idx="43">
                  <c:v>31.824000000000002</c:v>
                </c:pt>
                <c:pt idx="44">
                  <c:v>31.824000000000002</c:v>
                </c:pt>
                <c:pt idx="45">
                  <c:v>31.824000000000002</c:v>
                </c:pt>
                <c:pt idx="46">
                  <c:v>31.824000000000002</c:v>
                </c:pt>
                <c:pt idx="47">
                  <c:v>31.824000000000002</c:v>
                </c:pt>
                <c:pt idx="48">
                  <c:v>31.824000000000002</c:v>
                </c:pt>
                <c:pt idx="49">
                  <c:v>31.824000000000002</c:v>
                </c:pt>
              </c:numCache>
            </c:numRef>
          </c:val>
          <c:smooth val="0"/>
          <c:extLst>
            <c:ext xmlns:c16="http://schemas.microsoft.com/office/drawing/2014/chart" uri="{C3380CC4-5D6E-409C-BE32-E72D297353CC}">
              <c16:uniqueId val="{00000007-FE52-4B86-BD66-4589972F1F98}"/>
            </c:ext>
          </c:extLst>
        </c:ser>
        <c:ser>
          <c:idx val="8"/>
          <c:order val="8"/>
          <c:tx>
            <c:strRef>
              <c:f>Cumulative_Costs_1!$A$69</c:f>
              <c:strCache>
                <c:ptCount val="1"/>
                <c:pt idx="0">
                  <c:v> Tree protection fencing ($) </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Cumulative_Costs_1!$B$69:$AY$69</c:f>
              <c:numCache>
                <c:formatCode>_-"$"* #,##0.0_-;\-"$"* #,##0.0_-;_-"$"* "-"??_-;_-@_-</c:formatCode>
                <c:ptCount val="5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numCache>
            </c:numRef>
          </c:val>
          <c:smooth val="0"/>
          <c:extLst>
            <c:ext xmlns:c16="http://schemas.microsoft.com/office/drawing/2014/chart" uri="{C3380CC4-5D6E-409C-BE32-E72D297353CC}">
              <c16:uniqueId val="{00000008-FE52-4B86-BD66-4589972F1F98}"/>
            </c:ext>
          </c:extLst>
        </c:ser>
        <c:ser>
          <c:idx val="9"/>
          <c:order val="9"/>
          <c:tx>
            <c:strRef>
              <c:f>Cumulative_Costs_1!$A$70</c:f>
              <c:strCache>
                <c:ptCount val="1"/>
                <c:pt idx="0">
                  <c:v> Traffic control cost ($) </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Cumulative_Costs_1!$B$70:$AY$70</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9-FE52-4B86-BD66-4589972F1F98}"/>
            </c:ext>
          </c:extLst>
        </c:ser>
        <c:ser>
          <c:idx val="10"/>
          <c:order val="10"/>
          <c:tx>
            <c:strRef>
              <c:f>Cumulative_Costs_1!$A$71</c:f>
              <c:strCache>
                <c:ptCount val="1"/>
                <c:pt idx="0">
                  <c:v> Guard rails </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Cumulative_Costs_1!$B$71:$AY$71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A-FE52-4B86-BD66-4589972F1F98}"/>
            </c:ext>
          </c:extLst>
        </c:ser>
        <c:ser>
          <c:idx val="11"/>
          <c:order val="11"/>
          <c:tx>
            <c:strRef>
              <c:f>Cumulative_Costs_1!$A$72</c:f>
              <c:strCache>
                <c:ptCount val="1"/>
                <c:pt idx="0">
                  <c:v> StrataVault or Strata cells ($) </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Cumulative_Costs_1!$B$72:$AY$72</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B-FE52-4B86-BD66-4589972F1F98}"/>
            </c:ext>
          </c:extLst>
        </c:ser>
        <c:ser>
          <c:idx val="12"/>
          <c:order val="12"/>
          <c:tx>
            <c:strRef>
              <c:f>Cumulative_Costs_1!$A$73</c:f>
              <c:strCache>
                <c:ptCount val="1"/>
                <c:pt idx="0">
                  <c:v> Watering costs </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Cumulative_Costs_1!$B$73:$AY$73</c:f>
              <c:numCache>
                <c:formatCode>_-"$"* #,##0.0_-;\-"$"* #,##0.0_-;_-"$"* "-"??_-;_-@_-</c:formatCode>
                <c:ptCount val="50"/>
                <c:pt idx="0">
                  <c:v>48</c:v>
                </c:pt>
                <c:pt idx="1">
                  <c:v>64.400000000000006</c:v>
                </c:pt>
                <c:pt idx="2">
                  <c:v>81.209999999999994</c:v>
                </c:pt>
                <c:pt idx="3">
                  <c:v>98.440249999999992</c:v>
                </c:pt>
                <c:pt idx="4">
                  <c:v>116.10125624999999</c:v>
                </c:pt>
                <c:pt idx="5">
                  <c:v>134.20378765625</c:v>
                </c:pt>
                <c:pt idx="6">
                  <c:v>152.75888234765623</c:v>
                </c:pt>
                <c:pt idx="7">
                  <c:v>171.77785440634764</c:v>
                </c:pt>
                <c:pt idx="8">
                  <c:v>191.27230076650633</c:v>
                </c:pt>
                <c:pt idx="9">
                  <c:v>211.25410828566899</c:v>
                </c:pt>
                <c:pt idx="10">
                  <c:v>231.73546099281069</c:v>
                </c:pt>
                <c:pt idx="11">
                  <c:v>252.72884751763095</c:v>
                </c:pt>
                <c:pt idx="12">
                  <c:v>274.24706870557173</c:v>
                </c:pt>
                <c:pt idx="13">
                  <c:v>296.30324542321102</c:v>
                </c:pt>
                <c:pt idx="14">
                  <c:v>318.91082655879126</c:v>
                </c:pt>
                <c:pt idx="15">
                  <c:v>342.083597222761</c:v>
                </c:pt>
                <c:pt idx="16">
                  <c:v>365.83568715333001</c:v>
                </c:pt>
                <c:pt idx="17">
                  <c:v>390.18157933216321</c:v>
                </c:pt>
                <c:pt idx="18">
                  <c:v>415.13611881546728</c:v>
                </c:pt>
                <c:pt idx="19">
                  <c:v>440.71452178585395</c:v>
                </c:pt>
                <c:pt idx="20">
                  <c:v>466.93238483050021</c:v>
                </c:pt>
                <c:pt idx="21">
                  <c:v>493.8056944512627</c:v>
                </c:pt>
                <c:pt idx="22">
                  <c:v>521.35083681254423</c:v>
                </c:pt>
                <c:pt idx="23">
                  <c:v>549.58460773285788</c:v>
                </c:pt>
                <c:pt idx="24">
                  <c:v>578.52422292617928</c:v>
                </c:pt>
                <c:pt idx="25">
                  <c:v>608.18732849933372</c:v>
                </c:pt>
                <c:pt idx="26">
                  <c:v>638.59201171181701</c:v>
                </c:pt>
                <c:pt idx="27">
                  <c:v>669.75681200461247</c:v>
                </c:pt>
                <c:pt idx="28">
                  <c:v>701.70073230472769</c:v>
                </c:pt>
                <c:pt idx="29">
                  <c:v>734.44325061234588</c:v>
                </c:pt>
                <c:pt idx="30">
                  <c:v>768.00433187765452</c:v>
                </c:pt>
                <c:pt idx="31">
                  <c:v>802.40444017459583</c:v>
                </c:pt>
                <c:pt idx="32">
                  <c:v>837.66455117896066</c:v>
                </c:pt>
                <c:pt idx="33">
                  <c:v>873.80616495843469</c:v>
                </c:pt>
                <c:pt idx="34">
                  <c:v>910.85131908239555</c:v>
                </c:pt>
                <c:pt idx="35">
                  <c:v>948.82260205945533</c:v>
                </c:pt>
                <c:pt idx="36">
                  <c:v>987.74316711094173</c:v>
                </c:pt>
                <c:pt idx="37">
                  <c:v>1027.6367462887151</c:v>
                </c:pt>
                <c:pt idx="38">
                  <c:v>1068.5276649459331</c:v>
                </c:pt>
                <c:pt idx="39">
                  <c:v>1110.4408565695815</c:v>
                </c:pt>
                <c:pt idx="40">
                  <c:v>1153.4018779838209</c:v>
                </c:pt>
                <c:pt idx="41">
                  <c:v>1197.4369249334163</c:v>
                </c:pt>
                <c:pt idx="42">
                  <c:v>1242.5728480567516</c:v>
                </c:pt>
                <c:pt idx="43">
                  <c:v>1288.8371692581704</c:v>
                </c:pt>
                <c:pt idx="44">
                  <c:v>1336.2580984896247</c:v>
                </c:pt>
                <c:pt idx="45">
                  <c:v>1384.8645509518651</c:v>
                </c:pt>
                <c:pt idx="46">
                  <c:v>1434.6861647256615</c:v>
                </c:pt>
                <c:pt idx="47">
                  <c:v>1485.7533188438028</c:v>
                </c:pt>
                <c:pt idx="48">
                  <c:v>1538.0971518148979</c:v>
                </c:pt>
                <c:pt idx="49">
                  <c:v>1591.7495806102702</c:v>
                </c:pt>
              </c:numCache>
            </c:numRef>
          </c:val>
          <c:smooth val="0"/>
          <c:extLst>
            <c:ext xmlns:c16="http://schemas.microsoft.com/office/drawing/2014/chart" uri="{C3380CC4-5D6E-409C-BE32-E72D297353CC}">
              <c16:uniqueId val="{0000000C-FE52-4B86-BD66-4589972F1F98}"/>
            </c:ext>
          </c:extLst>
        </c:ser>
        <c:ser>
          <c:idx val="13"/>
          <c:order val="13"/>
          <c:tx>
            <c:strRef>
              <c:f>Cumulative_Costs_1!$A$74</c:f>
              <c:strCache>
                <c:ptCount val="1"/>
                <c:pt idx="0">
                  <c:v> Maintenance </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Cumulative_Costs_1!$B$74:$AY$74</c:f>
              <c:numCache>
                <c:formatCode>_-"$"* #,##0.0_-;\-"$"* #,##0.0_-;_-"$"* "-"??_-;_-@_-</c:formatCode>
                <c:ptCount val="50"/>
                <c:pt idx="0">
                  <c:v>236.42666666666668</c:v>
                </c:pt>
                <c:pt idx="1">
                  <c:v>300.38666666666666</c:v>
                </c:pt>
                <c:pt idx="2">
                  <c:v>349.55591666666669</c:v>
                </c:pt>
                <c:pt idx="3">
                  <c:v>399.95439791666666</c:v>
                </c:pt>
                <c:pt idx="4">
                  <c:v>451.61284119791662</c:v>
                </c:pt>
                <c:pt idx="5">
                  <c:v>504.56274556119786</c:v>
                </c:pt>
                <c:pt idx="6">
                  <c:v>558.83639753356113</c:v>
                </c:pt>
                <c:pt idx="7">
                  <c:v>614.46689080523345</c:v>
                </c:pt>
                <c:pt idx="8">
                  <c:v>671.4881464086975</c:v>
                </c:pt>
                <c:pt idx="9">
                  <c:v>729.93493340224825</c:v>
                </c:pt>
                <c:pt idx="10">
                  <c:v>789.84289007063785</c:v>
                </c:pt>
                <c:pt idx="11">
                  <c:v>851.24854565573708</c:v>
                </c:pt>
                <c:pt idx="12">
                  <c:v>914.18934263046378</c:v>
                </c:pt>
                <c:pt idx="13">
                  <c:v>978.70365952955865</c:v>
                </c:pt>
                <c:pt idx="14">
                  <c:v>1044.830834351131</c:v>
                </c:pt>
                <c:pt idx="15">
                  <c:v>1112.6111885432424</c:v>
                </c:pt>
                <c:pt idx="16">
                  <c:v>1182.0860515901568</c:v>
                </c:pt>
                <c:pt idx="17">
                  <c:v>1253.2977862132441</c:v>
                </c:pt>
                <c:pt idx="18">
                  <c:v>1326.2898142019085</c:v>
                </c:pt>
                <c:pt idx="19">
                  <c:v>1401.1066428902895</c:v>
                </c:pt>
                <c:pt idx="20">
                  <c:v>1477.7938922958801</c:v>
                </c:pt>
                <c:pt idx="21">
                  <c:v>1556.3983229366102</c:v>
                </c:pt>
                <c:pt idx="22">
                  <c:v>1636.9678643433588</c:v>
                </c:pt>
                <c:pt idx="23">
                  <c:v>1719.5516442852759</c:v>
                </c:pt>
                <c:pt idx="24">
                  <c:v>1804.2000187257408</c:v>
                </c:pt>
                <c:pt idx="25">
                  <c:v>1890.9646025272177</c:v>
                </c:pt>
                <c:pt idx="26">
                  <c:v>1979.8983009237313</c:v>
                </c:pt>
                <c:pt idx="27">
                  <c:v>2071.055341780158</c:v>
                </c:pt>
                <c:pt idx="28">
                  <c:v>2164.491308657995</c:v>
                </c:pt>
                <c:pt idx="29">
                  <c:v>2260.263174707778</c:v>
                </c:pt>
                <c:pt idx="30">
                  <c:v>2358.4293374088056</c:v>
                </c:pt>
                <c:pt idx="31">
                  <c:v>2459.0496541773591</c:v>
                </c:pt>
                <c:pt idx="32">
                  <c:v>2562.1854788651267</c:v>
                </c:pt>
                <c:pt idx="33">
                  <c:v>2667.8996991700878</c:v>
                </c:pt>
                <c:pt idx="34">
                  <c:v>2776.2567749826731</c:v>
                </c:pt>
                <c:pt idx="35">
                  <c:v>2887.3227776905733</c:v>
                </c:pt>
                <c:pt idx="36">
                  <c:v>3001.1654304661706</c:v>
                </c:pt>
                <c:pt idx="37">
                  <c:v>3117.8541495611585</c:v>
                </c:pt>
                <c:pt idx="38">
                  <c:v>3237.4600866335204</c:v>
                </c:pt>
                <c:pt idx="39">
                  <c:v>3360.0561721326917</c:v>
                </c:pt>
                <c:pt idx="40">
                  <c:v>3485.7171597693423</c:v>
                </c:pt>
                <c:pt idx="41">
                  <c:v>3614.5196720969088</c:v>
                </c:pt>
                <c:pt idx="42">
                  <c:v>3746.542247232665</c:v>
                </c:pt>
                <c:pt idx="43">
                  <c:v>3881.8653867468147</c:v>
                </c:pt>
                <c:pt idx="44">
                  <c:v>4020.5716047488181</c:v>
                </c:pt>
                <c:pt idx="45">
                  <c:v>4162.7454782008717</c:v>
                </c:pt>
                <c:pt idx="46">
                  <c:v>4308.4736984892261</c:v>
                </c:pt>
                <c:pt idx="47">
                  <c:v>4457.8451242847905</c:v>
                </c:pt>
                <c:pt idx="48">
                  <c:v>4610.9508357252435</c:v>
                </c:pt>
                <c:pt idx="49">
                  <c:v>4767.8841899517074</c:v>
                </c:pt>
              </c:numCache>
            </c:numRef>
          </c:val>
          <c:smooth val="0"/>
          <c:extLst>
            <c:ext xmlns:c16="http://schemas.microsoft.com/office/drawing/2014/chart" uri="{C3380CC4-5D6E-409C-BE32-E72D297353CC}">
              <c16:uniqueId val="{0000000D-FE52-4B86-BD66-4589972F1F98}"/>
            </c:ext>
          </c:extLst>
        </c:ser>
        <c:ser>
          <c:idx val="14"/>
          <c:order val="14"/>
          <c:tx>
            <c:strRef>
              <c:f>Cumulative_Costs_1!$A$75</c:f>
              <c:strCache>
                <c:ptCount val="1"/>
                <c:pt idx="0">
                  <c:v> Arborist tree health inspection ($) </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Cumulative_Costs_1!$B$75:$AY$75</c:f>
              <c:numCache>
                <c:formatCode>_-"$"* #,##0.0_-;\-"$"* #,##0.0_-;_-"$"* "-"??_-;_-@_-</c:formatCode>
                <c:ptCount val="50"/>
                <c:pt idx="0">
                  <c:v>5</c:v>
                </c:pt>
                <c:pt idx="1">
                  <c:v>10.125</c:v>
                </c:pt>
                <c:pt idx="2">
                  <c:v>15.378125000000001</c:v>
                </c:pt>
                <c:pt idx="3">
                  <c:v>20.762578125000001</c:v>
                </c:pt>
                <c:pt idx="4">
                  <c:v>26.281642578124998</c:v>
                </c:pt>
                <c:pt idx="5">
                  <c:v>31.93868364257812</c:v>
                </c:pt>
                <c:pt idx="6">
                  <c:v>37.737150733642572</c:v>
                </c:pt>
                <c:pt idx="7">
                  <c:v>43.680579501983637</c:v>
                </c:pt>
                <c:pt idx="8">
                  <c:v>49.772593989533227</c:v>
                </c:pt>
                <c:pt idx="9">
                  <c:v>56.016908839271558</c:v>
                </c:pt>
                <c:pt idx="10">
                  <c:v>62.417331560253345</c:v>
                </c:pt>
                <c:pt idx="11">
                  <c:v>68.977764849259671</c:v>
                </c:pt>
                <c:pt idx="12">
                  <c:v>75.702208970491171</c:v>
                </c:pt>
                <c:pt idx="13">
                  <c:v>82.594764194753438</c:v>
                </c:pt>
                <c:pt idx="14">
                  <c:v>89.659633299622271</c:v>
                </c:pt>
                <c:pt idx="15">
                  <c:v>96.901124132112813</c:v>
                </c:pt>
                <c:pt idx="16">
                  <c:v>104.32365223541564</c:v>
                </c:pt>
                <c:pt idx="17">
                  <c:v>111.93174354130102</c:v>
                </c:pt>
                <c:pt idx="18">
                  <c:v>119.73003712983355</c:v>
                </c:pt>
                <c:pt idx="19">
                  <c:v>127.72328805807938</c:v>
                </c:pt>
                <c:pt idx="20">
                  <c:v>135.91637025953136</c:v>
                </c:pt>
                <c:pt idx="21">
                  <c:v>144.31427951601964</c:v>
                </c:pt>
                <c:pt idx="22">
                  <c:v>152.92213650392011</c:v>
                </c:pt>
                <c:pt idx="23">
                  <c:v>161.74518991651811</c:v>
                </c:pt>
                <c:pt idx="24">
                  <c:v>170.78881966443106</c:v>
                </c:pt>
                <c:pt idx="25">
                  <c:v>180.05854015604183</c:v>
                </c:pt>
                <c:pt idx="26">
                  <c:v>189.56000365994285</c:v>
                </c:pt>
                <c:pt idx="27">
                  <c:v>199.2990037514414</c:v>
                </c:pt>
                <c:pt idx="28">
                  <c:v>209.28147884522744</c:v>
                </c:pt>
                <c:pt idx="29">
                  <c:v>219.51351581635811</c:v>
                </c:pt>
                <c:pt idx="30">
                  <c:v>230.00135371176708</c:v>
                </c:pt>
                <c:pt idx="31">
                  <c:v>240.75138755456126</c:v>
                </c:pt>
                <c:pt idx="32">
                  <c:v>251.77017224342529</c:v>
                </c:pt>
                <c:pt idx="33">
                  <c:v>263.06442654951093</c:v>
                </c:pt>
                <c:pt idx="34">
                  <c:v>274.64103721324869</c:v>
                </c:pt>
                <c:pt idx="35">
                  <c:v>286.5070631435799</c:v>
                </c:pt>
                <c:pt idx="36">
                  <c:v>298.66973972216937</c:v>
                </c:pt>
                <c:pt idx="37">
                  <c:v>311.13648321522356</c:v>
                </c:pt>
                <c:pt idx="38">
                  <c:v>323.91489529560414</c:v>
                </c:pt>
                <c:pt idx="39">
                  <c:v>337.01276767799419</c:v>
                </c:pt>
                <c:pt idx="40">
                  <c:v>350.43808686994402</c:v>
                </c:pt>
                <c:pt idx="41">
                  <c:v>364.19903904169257</c:v>
                </c:pt>
                <c:pt idx="42">
                  <c:v>378.30401501773486</c:v>
                </c:pt>
                <c:pt idx="43">
                  <c:v>392.7616153931782</c:v>
                </c:pt>
                <c:pt idx="44">
                  <c:v>407.58065577800767</c:v>
                </c:pt>
                <c:pt idx="45">
                  <c:v>422.77017217245782</c:v>
                </c:pt>
                <c:pt idx="46">
                  <c:v>438.33942647676923</c:v>
                </c:pt>
                <c:pt idx="47">
                  <c:v>454.29791213868839</c:v>
                </c:pt>
                <c:pt idx="48">
                  <c:v>470.65535994215566</c:v>
                </c:pt>
                <c:pt idx="49">
                  <c:v>487.42174394070952</c:v>
                </c:pt>
              </c:numCache>
            </c:numRef>
          </c:val>
          <c:smooth val="0"/>
          <c:extLst>
            <c:ext xmlns:c16="http://schemas.microsoft.com/office/drawing/2014/chart" uri="{C3380CC4-5D6E-409C-BE32-E72D297353CC}">
              <c16:uniqueId val="{0000000E-FE52-4B86-BD66-4589972F1F98}"/>
            </c:ext>
          </c:extLst>
        </c:ser>
        <c:ser>
          <c:idx val="15"/>
          <c:order val="15"/>
          <c:tx>
            <c:strRef>
              <c:f>Cumulative_Costs_1!$A$76</c:f>
              <c:strCache>
                <c:ptCount val="1"/>
                <c:pt idx="0">
                  <c:v> Visual tree inspection ($) </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Cumulative_Costs_1!$B$76:$AY$76</c:f>
              <c:numCache>
                <c:formatCode>_-"$"* #,##0.0_-;\-"$"* #,##0.0_-;_-"$"* "-"??_-;_-@_-</c:formatCode>
                <c:ptCount val="50"/>
                <c:pt idx="0">
                  <c:v>3</c:v>
                </c:pt>
                <c:pt idx="1">
                  <c:v>6.0750000000000002</c:v>
                </c:pt>
                <c:pt idx="2">
                  <c:v>9.2268749999999997</c:v>
                </c:pt>
                <c:pt idx="3">
                  <c:v>12.457546875</c:v>
                </c:pt>
                <c:pt idx="4">
                  <c:v>15.768985546875001</c:v>
                </c:pt>
                <c:pt idx="5">
                  <c:v>19.163210185546873</c:v>
                </c:pt>
                <c:pt idx="6">
                  <c:v>22.642290440185544</c:v>
                </c:pt>
                <c:pt idx="7">
                  <c:v>26.208347701190181</c:v>
                </c:pt>
                <c:pt idx="8">
                  <c:v>29.863556393719936</c:v>
                </c:pt>
                <c:pt idx="9">
                  <c:v>33.610145303562931</c:v>
                </c:pt>
                <c:pt idx="10">
                  <c:v>37.450398936151998</c:v>
                </c:pt>
                <c:pt idx="11">
                  <c:v>41.386658909555798</c:v>
                </c:pt>
                <c:pt idx="12">
                  <c:v>45.42132538229469</c:v>
                </c:pt>
                <c:pt idx="13">
                  <c:v>49.556858516852053</c:v>
                </c:pt>
                <c:pt idx="14">
                  <c:v>53.79577997977335</c:v>
                </c:pt>
                <c:pt idx="15">
                  <c:v>58.14067447926768</c:v>
                </c:pt>
                <c:pt idx="16">
                  <c:v>62.59419134124937</c:v>
                </c:pt>
                <c:pt idx="17">
                  <c:v>67.159046124780602</c:v>
                </c:pt>
                <c:pt idx="18">
                  <c:v>71.838022277900109</c:v>
                </c:pt>
                <c:pt idx="19">
                  <c:v>76.633972834847611</c:v>
                </c:pt>
                <c:pt idx="20">
                  <c:v>81.5498221557188</c:v>
                </c:pt>
                <c:pt idx="21">
                  <c:v>86.588567709611766</c:v>
                </c:pt>
                <c:pt idx="22">
                  <c:v>91.753281902352043</c:v>
                </c:pt>
                <c:pt idx="23">
                  <c:v>97.047113949910838</c:v>
                </c:pt>
                <c:pt idx="24">
                  <c:v>102.47329179865861</c:v>
                </c:pt>
                <c:pt idx="25">
                  <c:v>108.03512409362507</c:v>
                </c:pt>
                <c:pt idx="26">
                  <c:v>113.7360021959657</c:v>
                </c:pt>
                <c:pt idx="27">
                  <c:v>119.57940225086485</c:v>
                </c:pt>
                <c:pt idx="28">
                  <c:v>125.56888730713646</c:v>
                </c:pt>
                <c:pt idx="29">
                  <c:v>131.70810948981486</c:v>
                </c:pt>
                <c:pt idx="30">
                  <c:v>138.00081222706024</c:v>
                </c:pt>
                <c:pt idx="31">
                  <c:v>144.45083253273674</c:v>
                </c:pt>
                <c:pt idx="32">
                  <c:v>151.06210334605512</c:v>
                </c:pt>
                <c:pt idx="33">
                  <c:v>157.8386559297065</c:v>
                </c:pt>
                <c:pt idx="34">
                  <c:v>164.78462232794919</c:v>
                </c:pt>
                <c:pt idx="35">
                  <c:v>171.90423788614788</c:v>
                </c:pt>
                <c:pt idx="36">
                  <c:v>179.20184383330158</c:v>
                </c:pt>
                <c:pt idx="37">
                  <c:v>186.68188992913409</c:v>
                </c:pt>
                <c:pt idx="38">
                  <c:v>194.34893717736242</c:v>
                </c:pt>
                <c:pt idx="39">
                  <c:v>202.20766060679648</c:v>
                </c:pt>
                <c:pt idx="40">
                  <c:v>210.26285212196638</c:v>
                </c:pt>
                <c:pt idx="41">
                  <c:v>218.51942342501553</c:v>
                </c:pt>
                <c:pt idx="42">
                  <c:v>226.98240901064091</c:v>
                </c:pt>
                <c:pt idx="43">
                  <c:v>235.6569692359069</c:v>
                </c:pt>
                <c:pt idx="44">
                  <c:v>244.54839346680455</c:v>
                </c:pt>
                <c:pt idx="45">
                  <c:v>253.66210330347465</c:v>
                </c:pt>
                <c:pt idx="46">
                  <c:v>263.00365588606149</c:v>
                </c:pt>
                <c:pt idx="47">
                  <c:v>272.57874728321303</c:v>
                </c:pt>
                <c:pt idx="48">
                  <c:v>282.39321596529334</c:v>
                </c:pt>
                <c:pt idx="49">
                  <c:v>292.45304636442563</c:v>
                </c:pt>
              </c:numCache>
            </c:numRef>
          </c:val>
          <c:smooth val="0"/>
          <c:extLst>
            <c:ext xmlns:c16="http://schemas.microsoft.com/office/drawing/2014/chart" uri="{C3380CC4-5D6E-409C-BE32-E72D297353CC}">
              <c16:uniqueId val="{0000000F-FE52-4B86-BD66-4589972F1F98}"/>
            </c:ext>
          </c:extLst>
        </c:ser>
        <c:ser>
          <c:idx val="16"/>
          <c:order val="16"/>
          <c:tx>
            <c:strRef>
              <c:f>Cumulative_Costs_1!$A$77</c:f>
              <c:strCache>
                <c:ptCount val="1"/>
                <c:pt idx="0">
                  <c:v> GIS mapping and inventory assessment ($) </c:v>
                </c:pt>
              </c:strCache>
            </c:strRef>
          </c:tx>
          <c:spPr>
            <a:ln w="22225" cap="rnd">
              <a:solidFill>
                <a:schemeClr val="accent5">
                  <a:lumMod val="80000"/>
                  <a:lumOff val="20000"/>
                </a:schemeClr>
              </a:solidFill>
              <a:round/>
            </a:ln>
            <a:effectLst/>
          </c:spPr>
          <c:marker>
            <c:symbol val="dot"/>
            <c:size val="6"/>
            <c:spPr>
              <a:solidFill>
                <a:schemeClr val="accent5">
                  <a:lumMod val="80000"/>
                  <a:lumOff val="20000"/>
                </a:schemeClr>
              </a:solidFill>
              <a:ln w="9525">
                <a:solidFill>
                  <a:schemeClr val="accent5">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Cumulative_Costs_1!$B$77:$AY$77</c:f>
              <c:numCache>
                <c:formatCode>_-"$"* #,##0.0_-;\-"$"* #,##0.0_-;_-"$"* "-"??_-;_-@_-</c:formatCode>
                <c:ptCount val="50"/>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2.4</c:v>
                </c:pt>
                <c:pt idx="18">
                  <c:v>2.4</c:v>
                </c:pt>
                <c:pt idx="19">
                  <c:v>2.4</c:v>
                </c:pt>
                <c:pt idx="20">
                  <c:v>2.4</c:v>
                </c:pt>
                <c:pt idx="21">
                  <c:v>2.4</c:v>
                </c:pt>
                <c:pt idx="22">
                  <c:v>2.4</c:v>
                </c:pt>
                <c:pt idx="23">
                  <c:v>2.4</c:v>
                </c:pt>
                <c:pt idx="24">
                  <c:v>2.4</c:v>
                </c:pt>
                <c:pt idx="25">
                  <c:v>2.4</c:v>
                </c:pt>
                <c:pt idx="26">
                  <c:v>2.4</c:v>
                </c:pt>
                <c:pt idx="27">
                  <c:v>2.4</c:v>
                </c:pt>
                <c:pt idx="28">
                  <c:v>2.4</c:v>
                </c:pt>
                <c:pt idx="29">
                  <c:v>2.4</c:v>
                </c:pt>
                <c:pt idx="30">
                  <c:v>2.4</c:v>
                </c:pt>
                <c:pt idx="31">
                  <c:v>2.4</c:v>
                </c:pt>
                <c:pt idx="32">
                  <c:v>2.4</c:v>
                </c:pt>
                <c:pt idx="33">
                  <c:v>2.4</c:v>
                </c:pt>
                <c:pt idx="34">
                  <c:v>2.4</c:v>
                </c:pt>
                <c:pt idx="35">
                  <c:v>2.4</c:v>
                </c:pt>
                <c:pt idx="36">
                  <c:v>2.4</c:v>
                </c:pt>
                <c:pt idx="37">
                  <c:v>2.4</c:v>
                </c:pt>
                <c:pt idx="38">
                  <c:v>2.4</c:v>
                </c:pt>
                <c:pt idx="39">
                  <c:v>2.4</c:v>
                </c:pt>
                <c:pt idx="40">
                  <c:v>2.4</c:v>
                </c:pt>
                <c:pt idx="41">
                  <c:v>2.4</c:v>
                </c:pt>
                <c:pt idx="42">
                  <c:v>2.4</c:v>
                </c:pt>
                <c:pt idx="43">
                  <c:v>2.4</c:v>
                </c:pt>
                <c:pt idx="44">
                  <c:v>2.4</c:v>
                </c:pt>
                <c:pt idx="45">
                  <c:v>2.4</c:v>
                </c:pt>
                <c:pt idx="46">
                  <c:v>2.4</c:v>
                </c:pt>
                <c:pt idx="47">
                  <c:v>2.4</c:v>
                </c:pt>
                <c:pt idx="48">
                  <c:v>2.4</c:v>
                </c:pt>
                <c:pt idx="49">
                  <c:v>2.4</c:v>
                </c:pt>
              </c:numCache>
            </c:numRef>
          </c:val>
          <c:smooth val="0"/>
          <c:extLst>
            <c:ext xmlns:c16="http://schemas.microsoft.com/office/drawing/2014/chart" uri="{C3380CC4-5D6E-409C-BE32-E72D297353CC}">
              <c16:uniqueId val="{00000010-FE52-4B86-BD66-4589972F1F98}"/>
            </c:ext>
          </c:extLst>
        </c:ser>
        <c:ser>
          <c:idx val="17"/>
          <c:order val="17"/>
          <c:tx>
            <c:strRef>
              <c:f>Cumulative_Costs_1!$A$78</c:f>
              <c:strCache>
                <c:ptCount val="1"/>
                <c:pt idx="0">
                  <c:v> User specified cost item 1 ($/tree in Year 1 only) </c:v>
                </c:pt>
              </c:strCache>
            </c:strRef>
          </c:tx>
          <c:spPr>
            <a:ln w="22225" cap="rnd">
              <a:solidFill>
                <a:schemeClr val="accent6">
                  <a:lumMod val="80000"/>
                  <a:lumOff val="20000"/>
                </a:schemeClr>
              </a:solidFill>
              <a:round/>
            </a:ln>
            <a:effectLst/>
          </c:spPr>
          <c:marker>
            <c:symbol val="dash"/>
            <c:size val="6"/>
            <c:spPr>
              <a:solidFill>
                <a:schemeClr val="accent6">
                  <a:lumMod val="80000"/>
                  <a:lumOff val="20000"/>
                </a:schemeClr>
              </a:solidFill>
              <a:ln w="9525">
                <a:solidFill>
                  <a:schemeClr val="accent6">
                    <a:lumMod val="80000"/>
                    <a:lumOff val="2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Cumulative_Costs_1!$B$78:$AY$78</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1-FE52-4B86-BD66-4589972F1F98}"/>
            </c:ext>
          </c:extLst>
        </c:ser>
        <c:ser>
          <c:idx val="18"/>
          <c:order val="18"/>
          <c:tx>
            <c:strRef>
              <c:f>Cumulative_Costs_1!$A$79</c:f>
              <c:strCache>
                <c:ptCount val="1"/>
                <c:pt idx="0">
                  <c:v> User specified cost item 2 ($/tree per annum up to year 2) </c:v>
                </c:pt>
              </c:strCache>
            </c:strRef>
          </c:tx>
          <c:spPr>
            <a:ln w="22225" cap="rnd">
              <a:solidFill>
                <a:schemeClr val="accent1">
                  <a:lumMod val="80000"/>
                </a:schemeClr>
              </a:solidFill>
              <a:round/>
            </a:ln>
            <a:effectLst/>
          </c:spPr>
          <c:marker>
            <c:symbol val="diamond"/>
            <c:size val="6"/>
            <c:spPr>
              <a:solidFill>
                <a:schemeClr val="accent1">
                  <a:lumMod val="80000"/>
                </a:schemeClr>
              </a:solidFill>
              <a:ln w="9525">
                <a:solidFill>
                  <a:schemeClr val="accent1">
                    <a:lumMod val="8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Cumulative_Costs_1!$B$79:$AY$79</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2-FE52-4B86-BD66-4589972F1F98}"/>
            </c:ext>
          </c:extLst>
        </c:ser>
        <c:ser>
          <c:idx val="19"/>
          <c:order val="19"/>
          <c:tx>
            <c:strRef>
              <c:f>Cumulative_Costs_1!$A$80</c:f>
              <c:strCache>
                <c:ptCount val="1"/>
                <c:pt idx="0">
                  <c:v> User specified cost item 3 ($/tree per annum) </c:v>
                </c:pt>
              </c:strCache>
            </c:strRef>
          </c:tx>
          <c:spPr>
            <a:ln w="22225" cap="rnd">
              <a:solidFill>
                <a:schemeClr val="accent2">
                  <a:lumMod val="80000"/>
                </a:schemeClr>
              </a:solidFill>
              <a:round/>
            </a:ln>
            <a:effectLst/>
          </c:spPr>
          <c:marker>
            <c:symbol val="square"/>
            <c:size val="6"/>
            <c:spPr>
              <a:solidFill>
                <a:schemeClr val="accent2">
                  <a:lumMod val="80000"/>
                </a:schemeClr>
              </a:solidFill>
              <a:ln w="9525">
                <a:solidFill>
                  <a:schemeClr val="accent2">
                    <a:lumMod val="8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Cumulative_Costs_1!$B$80:$AY$80</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3-FE52-4B86-BD66-4589972F1F98}"/>
            </c:ext>
          </c:extLst>
        </c:ser>
        <c:ser>
          <c:idx val="20"/>
          <c:order val="20"/>
          <c:tx>
            <c:strRef>
              <c:f>Cumulative_Costs_1!$A$81</c:f>
              <c:strCache>
                <c:ptCount val="1"/>
                <c:pt idx="0">
                  <c:v> User specified cost item 4 ($/tree per annum) </c:v>
                </c:pt>
              </c:strCache>
            </c:strRef>
          </c:tx>
          <c:spPr>
            <a:ln w="22225" cap="rnd">
              <a:solidFill>
                <a:schemeClr val="accent3">
                  <a:lumMod val="80000"/>
                </a:schemeClr>
              </a:solidFill>
              <a:round/>
            </a:ln>
            <a:effectLst/>
          </c:spPr>
          <c:marker>
            <c:symbol val="triangle"/>
            <c:size val="6"/>
            <c:spPr>
              <a:solidFill>
                <a:schemeClr val="accent3">
                  <a:lumMod val="80000"/>
                </a:schemeClr>
              </a:solidFill>
              <a:ln w="9525">
                <a:solidFill>
                  <a:schemeClr val="accent3">
                    <a:lumMod val="8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Cumulative_Costs_1!$B$81:$AY$81</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4-FE52-4B86-BD66-4589972F1F98}"/>
            </c:ext>
          </c:extLst>
        </c:ser>
        <c:ser>
          <c:idx val="21"/>
          <c:order val="21"/>
          <c:tx>
            <c:strRef>
              <c:f>Cumulative_Costs_1!$A$82</c:f>
              <c:strCache>
                <c:ptCount val="1"/>
                <c:pt idx="0">
                  <c:v> User specified cost item 5 ($/tree per annum) </c:v>
                </c:pt>
              </c:strCache>
            </c:strRef>
          </c:tx>
          <c:spPr>
            <a:ln w="22225" cap="rnd">
              <a:solidFill>
                <a:schemeClr val="accent4">
                  <a:lumMod val="80000"/>
                </a:schemeClr>
              </a:solidFill>
              <a:round/>
            </a:ln>
            <a:effectLst/>
          </c:spPr>
          <c:marker>
            <c:symbol val="x"/>
            <c:size val="6"/>
            <c:spPr>
              <a:noFill/>
              <a:ln w="9525">
                <a:solidFill>
                  <a:schemeClr val="accent4">
                    <a:lumMod val="8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Cumulative_Costs_1!$B$82:$AY$82</c:f>
              <c:numCache>
                <c:formatCode>_-"$"* #,##0.0_-;\-"$"* #,##0.0_-;_-"$"* "-"??_-;_-@_-</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15-FE52-4B86-BD66-4589972F1F98}"/>
            </c:ext>
          </c:extLst>
        </c:ser>
        <c:ser>
          <c:idx val="22"/>
          <c:order val="22"/>
          <c:tx>
            <c:strRef>
              <c:f>Cumulative_Costs_1!$A$83</c:f>
              <c:strCache>
                <c:ptCount val="1"/>
                <c:pt idx="0">
                  <c:v> Total </c:v>
                </c:pt>
              </c:strCache>
            </c:strRef>
          </c:tx>
          <c:spPr>
            <a:ln w="22225" cap="rnd">
              <a:solidFill>
                <a:schemeClr val="accent5">
                  <a:lumMod val="80000"/>
                </a:schemeClr>
              </a:solidFill>
              <a:round/>
            </a:ln>
            <a:effectLst/>
          </c:spPr>
          <c:marker>
            <c:symbol val="star"/>
            <c:size val="6"/>
            <c:spPr>
              <a:noFill/>
              <a:ln w="9525">
                <a:solidFill>
                  <a:schemeClr val="accent5">
                    <a:lumMod val="80000"/>
                  </a:schemeClr>
                </a:solidFill>
                <a:round/>
              </a:ln>
              <a:effectLst/>
            </c:spPr>
          </c:marker>
          <c:cat>
            <c:strRef>
              <c:f>Cumulative_Costs_1!$B$60:$AY$60</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Cumulative_Costs_1!$B$83:$AY$83</c:f>
              <c:numCache>
                <c:formatCode>_-"$"* #,##0.0_-;\-"$"* #,##0.0_-;_-"$"* "-"??_-;_-@_-</c:formatCode>
                <c:ptCount val="50"/>
                <c:pt idx="0">
                  <c:v>674.92423190448005</c:v>
                </c:pt>
                <c:pt idx="1">
                  <c:v>763.48423190448011</c:v>
                </c:pt>
                <c:pt idx="2">
                  <c:v>837.86848190447995</c:v>
                </c:pt>
                <c:pt idx="3">
                  <c:v>914.11233815448008</c:v>
                </c:pt>
                <c:pt idx="4">
                  <c:v>992.26229081072995</c:v>
                </c:pt>
                <c:pt idx="5">
                  <c:v>1072.3659922833863</c:v>
                </c:pt>
                <c:pt idx="6">
                  <c:v>1154.4722862928586</c:v>
                </c:pt>
                <c:pt idx="7">
                  <c:v>1238.6312376525684</c:v>
                </c:pt>
                <c:pt idx="8">
                  <c:v>1324.8941627962706</c:v>
                </c:pt>
                <c:pt idx="9">
                  <c:v>1413.3136610685651</c:v>
                </c:pt>
                <c:pt idx="10">
                  <c:v>1503.9436467976675</c:v>
                </c:pt>
                <c:pt idx="11">
                  <c:v>1596.839382169997</c:v>
                </c:pt>
                <c:pt idx="12">
                  <c:v>1692.0575109266351</c:v>
                </c:pt>
                <c:pt idx="13">
                  <c:v>1789.6560929021887</c:v>
                </c:pt>
                <c:pt idx="14">
                  <c:v>1889.6946394271315</c:v>
                </c:pt>
                <c:pt idx="15">
                  <c:v>1992.2341496151973</c:v>
                </c:pt>
                <c:pt idx="16">
                  <c:v>2097.3371475579656</c:v>
                </c:pt>
                <c:pt idx="17">
                  <c:v>2205.0677204493022</c:v>
                </c:pt>
                <c:pt idx="18">
                  <c:v>2315.4915576629228</c:v>
                </c:pt>
                <c:pt idx="19">
                  <c:v>2428.6759908068839</c:v>
                </c:pt>
                <c:pt idx="20">
                  <c:v>2544.690034779444</c:v>
                </c:pt>
                <c:pt idx="21">
                  <c:v>2663.6044298513175</c:v>
                </c:pt>
                <c:pt idx="22">
                  <c:v>2785.4916847999889</c:v>
                </c:pt>
                <c:pt idx="23">
                  <c:v>2910.4261211223761</c:v>
                </c:pt>
                <c:pt idx="24">
                  <c:v>3038.4839183528234</c:v>
                </c:pt>
                <c:pt idx="25">
                  <c:v>3169.7431605140323</c:v>
                </c:pt>
                <c:pt idx="26">
                  <c:v>3304.2838837292707</c:v>
                </c:pt>
                <c:pt idx="27">
                  <c:v>3442.1881250248903</c:v>
                </c:pt>
                <c:pt idx="28">
                  <c:v>3583.5399723528999</c:v>
                </c:pt>
                <c:pt idx="29">
                  <c:v>3728.4256158641101</c:v>
                </c:pt>
                <c:pt idx="30">
                  <c:v>3876.933400463101</c:v>
                </c:pt>
                <c:pt idx="31">
                  <c:v>4029.1538796770669</c:v>
                </c:pt>
                <c:pt idx="32">
                  <c:v>4185.1798708713804</c:v>
                </c:pt>
                <c:pt idx="33">
                  <c:v>4345.1065118455535</c:v>
                </c:pt>
                <c:pt idx="34">
                  <c:v>4509.0313188440796</c:v>
                </c:pt>
                <c:pt idx="35">
                  <c:v>4677.0542460175693</c:v>
                </c:pt>
                <c:pt idx="36">
                  <c:v>4849.2777463703969</c:v>
                </c:pt>
                <c:pt idx="37">
                  <c:v>5025.8068342320448</c:v>
                </c:pt>
                <c:pt idx="38">
                  <c:v>5206.7491492902327</c:v>
                </c:pt>
                <c:pt idx="39">
                  <c:v>5392.2150222248765</c:v>
                </c:pt>
                <c:pt idx="40">
                  <c:v>5582.3175419828867</c:v>
                </c:pt>
                <c:pt idx="41">
                  <c:v>5777.1726247348461</c:v>
                </c:pt>
                <c:pt idx="42">
                  <c:v>5976.8990845556054</c:v>
                </c:pt>
                <c:pt idx="43">
                  <c:v>6181.6187058718842</c:v>
                </c:pt>
                <c:pt idx="44">
                  <c:v>6391.4563177210684</c:v>
                </c:pt>
                <c:pt idx="45">
                  <c:v>6606.5398698664821</c:v>
                </c:pt>
                <c:pt idx="46">
                  <c:v>6827.000510815531</c:v>
                </c:pt>
                <c:pt idx="47">
                  <c:v>7052.9726677883082</c:v>
                </c:pt>
                <c:pt idx="48">
                  <c:v>7284.5941286854031</c:v>
                </c:pt>
                <c:pt idx="49">
                  <c:v>7522.0061261049259</c:v>
                </c:pt>
              </c:numCache>
            </c:numRef>
          </c:val>
          <c:smooth val="0"/>
          <c:extLst>
            <c:ext xmlns:c16="http://schemas.microsoft.com/office/drawing/2014/chart" uri="{C3380CC4-5D6E-409C-BE32-E72D297353CC}">
              <c16:uniqueId val="{00000016-FE52-4B86-BD66-4589972F1F98}"/>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_-;\-&quot;$&quot;* #,##0.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Total Cumulative costs for</a:t>
            </a:r>
            <a:r>
              <a:rPr lang="en-US" baseline="0"/>
              <a:t> whole project</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Cumulative_Costs_1!$A$27</c:f>
              <c:strCache>
                <c:ptCount val="1"/>
                <c:pt idx="0">
                  <c:v> Total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Cumulative_Costs_1!$B$4:$AY$4</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Cumulative_Costs_1!$B$27:$AY$27</c:f>
              <c:numCache>
                <c:formatCode>_-"$"* #,##0_-;\-"$"* #,##0_-;_-"$"* "-"??_-;_-@_-</c:formatCode>
                <c:ptCount val="50"/>
                <c:pt idx="0">
                  <c:v>67492.423190447997</c:v>
                </c:pt>
                <c:pt idx="1">
                  <c:v>76348.423190447997</c:v>
                </c:pt>
                <c:pt idx="2">
                  <c:v>83786.848190448</c:v>
                </c:pt>
                <c:pt idx="3">
                  <c:v>91411.233815447995</c:v>
                </c:pt>
                <c:pt idx="4">
                  <c:v>99226.229081073005</c:v>
                </c:pt>
                <c:pt idx="5">
                  <c:v>107236.59922833863</c:v>
                </c:pt>
                <c:pt idx="6">
                  <c:v>115447.22862928589</c:v>
                </c:pt>
                <c:pt idx="7">
                  <c:v>123863.12376525682</c:v>
                </c:pt>
                <c:pt idx="8">
                  <c:v>132489.41627962704</c:v>
                </c:pt>
                <c:pt idx="9">
                  <c:v>141331.36610685653</c:v>
                </c:pt>
                <c:pt idx="10">
                  <c:v>150394.3646797667</c:v>
                </c:pt>
                <c:pt idx="11">
                  <c:v>159683.9382169997</c:v>
                </c:pt>
                <c:pt idx="12">
                  <c:v>169205.75109266347</c:v>
                </c:pt>
                <c:pt idx="13">
                  <c:v>178965.60929021882</c:v>
                </c:pt>
                <c:pt idx="14">
                  <c:v>188969.4639427131</c:v>
                </c:pt>
                <c:pt idx="15">
                  <c:v>199223.41496151974</c:v>
                </c:pt>
                <c:pt idx="16">
                  <c:v>209733.71475579654</c:v>
                </c:pt>
                <c:pt idx="17">
                  <c:v>220506.77204493023</c:v>
                </c:pt>
                <c:pt idx="18">
                  <c:v>231549.15576629227</c:v>
                </c:pt>
                <c:pt idx="19">
                  <c:v>242867.59908068841</c:v>
                </c:pt>
                <c:pt idx="20">
                  <c:v>254469.00347794438</c:v>
                </c:pt>
                <c:pt idx="21">
                  <c:v>266360.44298513175</c:v>
                </c:pt>
                <c:pt idx="22">
                  <c:v>278549.16847999883</c:v>
                </c:pt>
                <c:pt idx="23">
                  <c:v>291042.61211223761</c:v>
                </c:pt>
                <c:pt idx="24">
                  <c:v>303848.39183528232</c:v>
                </c:pt>
                <c:pt idx="25">
                  <c:v>316974.31605140318</c:v>
                </c:pt>
                <c:pt idx="26">
                  <c:v>330428.38837292703</c:v>
                </c:pt>
                <c:pt idx="27">
                  <c:v>344218.81250248896</c:v>
                </c:pt>
                <c:pt idx="28">
                  <c:v>358353.99723528995</c:v>
                </c:pt>
                <c:pt idx="29">
                  <c:v>372842.56158641109</c:v>
                </c:pt>
                <c:pt idx="30">
                  <c:v>387693.34004631004</c:v>
                </c:pt>
                <c:pt idx="31">
                  <c:v>402915.38796770666</c:v>
                </c:pt>
                <c:pt idx="32">
                  <c:v>418517.98708713806</c:v>
                </c:pt>
                <c:pt idx="33">
                  <c:v>434510.65118455526</c:v>
                </c:pt>
                <c:pt idx="34">
                  <c:v>450903.13188440795</c:v>
                </c:pt>
                <c:pt idx="35">
                  <c:v>467705.42460175697</c:v>
                </c:pt>
                <c:pt idx="36">
                  <c:v>484927.77463703969</c:v>
                </c:pt>
                <c:pt idx="37">
                  <c:v>502580.68342320446</c:v>
                </c:pt>
                <c:pt idx="38">
                  <c:v>520674.91492902336</c:v>
                </c:pt>
                <c:pt idx="39">
                  <c:v>539221.5022224877</c:v>
                </c:pt>
                <c:pt idx="40">
                  <c:v>558231.75419828866</c:v>
                </c:pt>
                <c:pt idx="41">
                  <c:v>577717.26247348473</c:v>
                </c:pt>
                <c:pt idx="42">
                  <c:v>597689.90845556057</c:v>
                </c:pt>
                <c:pt idx="43">
                  <c:v>618161.8705871884</c:v>
                </c:pt>
                <c:pt idx="44">
                  <c:v>639145.63177210675</c:v>
                </c:pt>
                <c:pt idx="45">
                  <c:v>660653.98698664817</c:v>
                </c:pt>
                <c:pt idx="46">
                  <c:v>682700.0510815531</c:v>
                </c:pt>
                <c:pt idx="47">
                  <c:v>705297.2667788309</c:v>
                </c:pt>
                <c:pt idx="48">
                  <c:v>728459.41286854027</c:v>
                </c:pt>
                <c:pt idx="49">
                  <c:v>752200.61261049262</c:v>
                </c:pt>
              </c:numCache>
            </c:numRef>
          </c:val>
          <c:smooth val="0"/>
          <c:extLst>
            <c:ext xmlns:c16="http://schemas.microsoft.com/office/drawing/2014/chart" uri="{C3380CC4-5D6E-409C-BE32-E72D297353CC}">
              <c16:uniqueId val="{00000000-840E-4E29-896B-63EC7948E550}"/>
            </c:ext>
          </c:extLst>
        </c:ser>
        <c:dLbls>
          <c:showLegendKey val="0"/>
          <c:showVal val="0"/>
          <c:showCatName val="0"/>
          <c:showSerName val="0"/>
          <c:showPercent val="0"/>
          <c:showBubbleSize val="0"/>
        </c:dLbls>
        <c:marker val="1"/>
        <c:smooth val="0"/>
        <c:axId val="753228576"/>
        <c:axId val="753229888"/>
      </c:lineChart>
      <c:catAx>
        <c:axId val="753228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n-US"/>
          </a:p>
        </c:txPr>
        <c:crossAx val="753229888"/>
        <c:crosses val="autoZero"/>
        <c:auto val="1"/>
        <c:lblAlgn val="ctr"/>
        <c:lblOffset val="100"/>
        <c:noMultiLvlLbl val="0"/>
      </c:catAx>
      <c:valAx>
        <c:axId val="75322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3228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C79B3D-759A-4EF2-B9E2-93FE37604C56}">
  <sheetPr>
    <tabColor theme="6"/>
  </sheetPr>
  <sheetViews>
    <sheetView workbookViewId="0"/>
  </sheetViews>
  <sheetProtection algorithmName="SHA-512" hashValue="zWCU+6tHbGiqqt7Ew/U4wBTWeAKl2I5Ip65BBSKTYg8nFsK6w2udW87+dIq+vpoOemGVa9BaDcgqJjcGsQqZ9w==" saltValue="4GILkg5VLrUGUm1EQ/cBlA=="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BBC3E02-FF90-44FA-8716-1BB7BE805A18}">
  <sheetPr>
    <tabColor theme="6"/>
  </sheetPr>
  <sheetViews>
    <sheetView workbookViewId="0"/>
  </sheetViews>
  <sheetProtection algorithmName="SHA-512" hashValue="OxGDQ4azrdSAlnLs+S7dGIjK+0HyTN08o2TPBST7Qxk65loOB6Xzyy1QJUne+Zqv7cZfHOb0LyIvC05CZ8glHQ==" saltValue="pxKNytDrNrmEpmwqMKBl4g==" spinCount="100000" content="1" objects="1"/>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ED3EEF5-319C-490A-ABFE-E3D8369BE85C}">
  <sheetPr>
    <tabColor theme="6"/>
  </sheetPr>
  <sheetViews>
    <sheetView workbookViewId="0"/>
  </sheetViews>
  <sheetProtection algorithmName="SHA-512" hashValue="dpgqqXI15OvjSlXBziwXimCR2WfC/DX8lSelIBWCB2MQl65fHfb1c4vlI6m/2l25OhExSoY1x3VafQ3JfT1sJA==" saltValue="JmJxsCsLhFKIf2IXKpixjw=="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4040</xdr:rowOff>
    </xdr:from>
    <xdr:to>
      <xdr:col>11</xdr:col>
      <xdr:colOff>0</xdr:colOff>
      <xdr:row>5</xdr:row>
      <xdr:rowOff>95250</xdr:rowOff>
    </xdr:to>
    <xdr:pic>
      <xdr:nvPicPr>
        <xdr:cNvPr id="4" name="Picture 3">
          <a:extLst>
            <a:ext uri="{FF2B5EF4-FFF2-40B4-BE49-F238E27FC236}">
              <a16:creationId xmlns:a16="http://schemas.microsoft.com/office/drawing/2014/main" id="{21999931-E679-4E0E-89C5-AC43FEEFAE82}"/>
            </a:ext>
          </a:extLst>
        </xdr:cNvPr>
        <xdr:cNvPicPr>
          <a:picLocks noChangeAspect="1"/>
        </xdr:cNvPicPr>
      </xdr:nvPicPr>
      <xdr:blipFill>
        <a:blip xmlns:r="http://schemas.openxmlformats.org/officeDocument/2006/relationships" r:embed="rId1"/>
        <a:stretch>
          <a:fillRect/>
        </a:stretch>
      </xdr:blipFill>
      <xdr:spPr>
        <a:xfrm>
          <a:off x="0" y="4040"/>
          <a:ext cx="7133441" cy="1472335"/>
        </a:xfrm>
        <a:prstGeom prst="rect">
          <a:avLst/>
        </a:prstGeom>
      </xdr:spPr>
    </xdr:pic>
    <xdr:clientData/>
  </xdr:twoCellAnchor>
  <xdr:oneCellAnchor>
    <xdr:from>
      <xdr:col>0</xdr:col>
      <xdr:colOff>638175</xdr:colOff>
      <xdr:row>0</xdr:row>
      <xdr:rowOff>295275</xdr:rowOff>
    </xdr:from>
    <xdr:ext cx="3814186" cy="906338"/>
    <xdr:sp macro="" textlink="">
      <xdr:nvSpPr>
        <xdr:cNvPr id="3" name="TextBox 2">
          <a:extLst>
            <a:ext uri="{FF2B5EF4-FFF2-40B4-BE49-F238E27FC236}">
              <a16:creationId xmlns:a16="http://schemas.microsoft.com/office/drawing/2014/main" id="{F019BFDB-6752-4D82-975A-32C01BF6BF3E}"/>
            </a:ext>
          </a:extLst>
        </xdr:cNvPr>
        <xdr:cNvSpPr txBox="1"/>
      </xdr:nvSpPr>
      <xdr:spPr>
        <a:xfrm>
          <a:off x="638175" y="295275"/>
          <a:ext cx="3814186" cy="906338"/>
        </a:xfrm>
        <a:prstGeom prst="rect">
          <a:avLst/>
        </a:prstGeom>
        <a:solidFill>
          <a:schemeClr val="tx1">
            <a:lumMod val="95000"/>
            <a:lumOff val="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2800" b="1">
              <a:solidFill>
                <a:schemeClr val="bg1"/>
              </a:solidFill>
              <a:latin typeface="Corbel" panose="020B0503020204020204" pitchFamily="34" charset="0"/>
            </a:rPr>
            <a:t>Tree Costing Tool</a:t>
          </a:r>
        </a:p>
        <a:p>
          <a:r>
            <a:rPr lang="en-AU" sz="2400" b="1" baseline="0">
              <a:solidFill>
                <a:schemeClr val="bg1"/>
              </a:solidFill>
              <a:latin typeface="Corbel" panose="020B0503020204020204" pitchFamily="34" charset="0"/>
            </a:rPr>
            <a:t>Cost analysis of urban trees</a:t>
          </a:r>
          <a:endParaRPr lang="en-AU" sz="2400" b="1">
            <a:solidFill>
              <a:schemeClr val="bg1"/>
            </a:solidFill>
            <a:latin typeface="Corbel" panose="020B0503020204020204" pitchFamily="34" charset="0"/>
          </a:endParaRPr>
        </a:p>
      </xdr:txBody>
    </xdr:sp>
    <xdr:clientData/>
  </xdr:oneCellAnchor>
  <xdr:twoCellAnchor editAs="oneCell">
    <xdr:from>
      <xdr:col>7</xdr:col>
      <xdr:colOff>428625</xdr:colOff>
      <xdr:row>6</xdr:row>
      <xdr:rowOff>19050</xdr:rowOff>
    </xdr:from>
    <xdr:to>
      <xdr:col>10</xdr:col>
      <xdr:colOff>427355</xdr:colOff>
      <xdr:row>9</xdr:row>
      <xdr:rowOff>47625</xdr:rowOff>
    </xdr:to>
    <xdr:pic>
      <xdr:nvPicPr>
        <xdr:cNvPr id="8" name="Picture 7" descr="Image result for hort innovation logo">
          <a:extLst>
            <a:ext uri="{FF2B5EF4-FFF2-40B4-BE49-F238E27FC236}">
              <a16:creationId xmlns:a16="http://schemas.microsoft.com/office/drawing/2014/main" id="{9D12968E-C838-498B-8D8C-63399AB9D9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29150" y="1628775"/>
          <a:ext cx="1798955" cy="647700"/>
        </a:xfrm>
        <a:prstGeom prst="rect">
          <a:avLst/>
        </a:prstGeom>
        <a:noFill/>
        <a:ln>
          <a:noFill/>
        </a:ln>
      </xdr:spPr>
    </xdr:pic>
    <xdr:clientData/>
  </xdr:twoCellAnchor>
  <xdr:twoCellAnchor>
    <xdr:from>
      <xdr:col>0</xdr:col>
      <xdr:colOff>0</xdr:colOff>
      <xdr:row>9</xdr:row>
      <xdr:rowOff>228600</xdr:rowOff>
    </xdr:from>
    <xdr:to>
      <xdr:col>11</xdr:col>
      <xdr:colOff>0</xdr:colOff>
      <xdr:row>25</xdr:row>
      <xdr:rowOff>74544</xdr:rowOff>
    </xdr:to>
    <xdr:sp macro="" textlink="">
      <xdr:nvSpPr>
        <xdr:cNvPr id="2" name="TextBox 1">
          <a:extLst>
            <a:ext uri="{FF2B5EF4-FFF2-40B4-BE49-F238E27FC236}">
              <a16:creationId xmlns:a16="http://schemas.microsoft.com/office/drawing/2014/main" id="{90B17612-73E1-4A27-A08C-E41F00294D66}"/>
            </a:ext>
          </a:extLst>
        </xdr:cNvPr>
        <xdr:cNvSpPr txBox="1"/>
      </xdr:nvSpPr>
      <xdr:spPr>
        <a:xfrm>
          <a:off x="0" y="2456622"/>
          <a:ext cx="6559826" cy="3216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The Tree Costing Tool is designed to assist users to conduct a comprehensive life cycle cost analysis of urban tree projects. These costs include the costs of sourcing plants, ground preparation, planting costs and other costs such as traffic control and installation of road barriers. It also includes future maintenance costs and the costs associated with tree mortality. All costs associated with planting and maintaining trees over the life of the project are covered in the life cycle costs.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Tree Costing Tool provides a systematic and user-friendly approach to project cost evaluation based on project size and location requirements. For example, in some locations, there may be a need to cut concrete to plant a tree or to a need to involve traffic controllers during the planting process. To estimate the life cycle costs for a tree planting project, users work through the spreadsheet step by step to enter their project details.</a:t>
          </a:r>
        </a:p>
        <a:p>
          <a:r>
            <a:rPr lang="en-AU" sz="1100">
              <a:solidFill>
                <a:schemeClr val="dk1"/>
              </a:solidFill>
              <a:effectLst/>
              <a:latin typeface="+mn-lt"/>
              <a:ea typeface="+mn-ea"/>
              <a:cs typeface="+mn-cs"/>
            </a:rPr>
            <a:t>After entering all the required values, the tool provides a results summary where the total costs of the whole project are summarised. Users have the option to analyse and compare three projects within the tool. The tool allows for costing projects based on desired number of trees or proposed planting area.</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tool is unique because different decisions that affect the cost and health of urban trees can be quantified through the life of the tree. For example, if a tree has a more rigorous proactive maintenance early in the tree life it will be cheaper over the life of the tree than one that is poorly maintained and needs lots of reactive maintenance.</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0.16484</cdr:x>
      <cdr:y>0.05144</cdr:y>
    </cdr:from>
    <cdr:to>
      <cdr:x>0.43187</cdr:x>
      <cdr:y>0.09531</cdr:y>
    </cdr:to>
    <cdr:grpSp>
      <cdr:nvGrpSpPr>
        <cdr:cNvPr id="8" name="Group 7">
          <a:extLst xmlns:a="http://schemas.openxmlformats.org/drawingml/2006/main">
            <a:ext uri="{FF2B5EF4-FFF2-40B4-BE49-F238E27FC236}">
              <a16:creationId xmlns:a16="http://schemas.microsoft.com/office/drawing/2014/main" id="{D2882B03-8797-4683-A2D9-D0B584FC3033}"/>
            </a:ext>
          </a:extLst>
        </cdr:cNvPr>
        <cdr:cNvGrpSpPr/>
      </cdr:nvGrpSpPr>
      <cdr:grpSpPr>
        <a:xfrm xmlns:a="http://schemas.openxmlformats.org/drawingml/2006/main">
          <a:off x="1428792" y="323868"/>
          <a:ext cx="2314549" cy="276206"/>
          <a:chOff x="1428750" y="323849"/>
          <a:chExt cx="2314574" cy="276226"/>
        </a:xfrm>
      </cdr:grpSpPr>
      <cdr:sp macro="" textlink="Dashboard_3!$H$6">
        <cdr:nvSpPr>
          <cdr:cNvPr id="3" name="TextBox 2">
            <a:extLst xmlns:a="http://schemas.openxmlformats.org/drawingml/2006/main">
              <a:ext uri="{FF2B5EF4-FFF2-40B4-BE49-F238E27FC236}">
                <a16:creationId xmlns:a16="http://schemas.microsoft.com/office/drawing/2014/main" id="{2D8B60DF-38C0-4501-93D5-2299D90E454A}"/>
              </a:ext>
            </a:extLst>
          </cdr:cNvPr>
          <cdr:cNvSpPr txBox="1"/>
        </cdr:nvSpPr>
        <cdr:spPr>
          <a:xfrm xmlns:a="http://schemas.openxmlformats.org/drawingml/2006/main">
            <a:off x="2733675" y="323849"/>
            <a:ext cx="1009649"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fld id="{4402784A-8FF4-4573-804C-4D2E19F8099A}" type="TxLink">
              <a:rPr lang="en-US" sz="1100" b="0" i="0" u="none" strike="noStrike">
                <a:solidFill>
                  <a:srgbClr val="000000"/>
                </a:solidFill>
                <a:latin typeface="Calibri"/>
                <a:cs typeface="Calibri"/>
              </a:rPr>
              <a:pPr/>
              <a:t>5.00</a:t>
            </a:fld>
            <a:endParaRPr lang="en-AU" sz="1100"/>
          </a:p>
        </cdr:txBody>
      </cdr:sp>
      <cdr:sp macro="" textlink="">
        <cdr:nvSpPr>
          <cdr:cNvPr id="4" name="TextBox 3">
            <a:extLst xmlns:a="http://schemas.openxmlformats.org/drawingml/2006/main">
              <a:ext uri="{FF2B5EF4-FFF2-40B4-BE49-F238E27FC236}">
                <a16:creationId xmlns:a16="http://schemas.microsoft.com/office/drawing/2014/main" id="{3591E9F4-4534-4B44-A9D9-03FB1C29B79F}"/>
              </a:ext>
            </a:extLst>
          </cdr:cNvPr>
          <cdr:cNvSpPr txBox="1"/>
        </cdr:nvSpPr>
        <cdr:spPr>
          <a:xfrm xmlns:a="http://schemas.openxmlformats.org/drawingml/2006/main">
            <a:off x="1428750" y="323850"/>
            <a:ext cx="1314450"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r>
              <a:rPr lang="en-AU" sz="1100"/>
              <a:t>Area</a:t>
            </a:r>
            <a:r>
              <a:rPr lang="en-AU" sz="1100" baseline="0"/>
              <a:t> (ha)</a:t>
            </a:r>
            <a:r>
              <a:rPr lang="en-AU" sz="1100"/>
              <a:t>:</a:t>
            </a:r>
          </a:p>
        </cdr:txBody>
      </cdr:sp>
    </cdr:grpSp>
  </cdr:relSizeAnchor>
  <cdr:relSizeAnchor xmlns:cdr="http://schemas.openxmlformats.org/drawingml/2006/chartDrawing">
    <cdr:from>
      <cdr:x>0.60989</cdr:x>
      <cdr:y>0.05194</cdr:y>
    </cdr:from>
    <cdr:to>
      <cdr:x>0.94835</cdr:x>
      <cdr:y>0.09834</cdr:y>
    </cdr:to>
    <cdr:grpSp>
      <cdr:nvGrpSpPr>
        <cdr:cNvPr id="7" name="Group 6">
          <a:extLst xmlns:a="http://schemas.openxmlformats.org/drawingml/2006/main">
            <a:ext uri="{FF2B5EF4-FFF2-40B4-BE49-F238E27FC236}">
              <a16:creationId xmlns:a16="http://schemas.microsoft.com/office/drawing/2014/main" id="{EC4F7F91-56B3-43C5-94A4-6328E6F024CD}"/>
            </a:ext>
          </a:extLst>
        </cdr:cNvPr>
        <cdr:cNvGrpSpPr/>
      </cdr:nvGrpSpPr>
      <cdr:grpSpPr>
        <a:xfrm xmlns:a="http://schemas.openxmlformats.org/drawingml/2006/main">
          <a:off x="5286374" y="327016"/>
          <a:ext cx="2933687" cy="292135"/>
          <a:chOff x="5584825" y="327024"/>
          <a:chExt cx="2063750" cy="208303"/>
        </a:xfrm>
      </cdr:grpSpPr>
      <cdr:sp macro="" textlink="">
        <cdr:nvSpPr>
          <cdr:cNvPr id="5" name="TextBox 1">
            <a:extLst xmlns:a="http://schemas.openxmlformats.org/drawingml/2006/main">
              <a:ext uri="{FF2B5EF4-FFF2-40B4-BE49-F238E27FC236}">
                <a16:creationId xmlns:a16="http://schemas.microsoft.com/office/drawing/2014/main" id="{113E0941-49E4-4034-962F-DCF201928E4A}"/>
              </a:ext>
            </a:extLst>
          </cdr:cNvPr>
          <cdr:cNvSpPr txBox="1"/>
        </cdr:nvSpPr>
        <cdr:spPr>
          <a:xfrm xmlns:a="http://schemas.openxmlformats.org/drawingml/2006/main">
            <a:off x="5584825" y="327024"/>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Planting</a:t>
            </a:r>
            <a:r>
              <a:rPr lang="en-AU" sz="1100" baseline="0"/>
              <a:t> method:</a:t>
            </a:r>
            <a:endParaRPr lang="en-AU" sz="1100"/>
          </a:p>
        </cdr:txBody>
      </cdr:sp>
      <cdr:sp macro="" textlink="Dashboard_3!$G$7">
        <cdr:nvSpPr>
          <cdr:cNvPr id="6" name="TextBox 1">
            <a:extLst xmlns:a="http://schemas.openxmlformats.org/drawingml/2006/main">
              <a:ext uri="{FF2B5EF4-FFF2-40B4-BE49-F238E27FC236}">
                <a16:creationId xmlns:a16="http://schemas.microsoft.com/office/drawing/2014/main" id="{84C19C6B-2AF7-4D2E-8CBB-7EB469468FC7}"/>
              </a:ext>
            </a:extLst>
          </cdr:cNvPr>
          <cdr:cNvSpPr txBox="1"/>
        </cdr:nvSpPr>
        <cdr:spPr>
          <a:xfrm xmlns:a="http://schemas.openxmlformats.org/drawingml/2006/main">
            <a:off x="6613525" y="327025"/>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841C38-AE58-48AC-AA46-E898F24D3798}" type="TxLink">
              <a:rPr lang="en-US" sz="1100" b="0" i="0" u="none" strike="noStrike">
                <a:solidFill>
                  <a:srgbClr val="000000"/>
                </a:solidFill>
                <a:latin typeface="Calibri"/>
                <a:cs typeface="Calibri"/>
              </a:rPr>
              <a:pPr/>
              <a:t>Tubestock</a:t>
            </a:fld>
            <a:endParaRPr lang="en-AU" sz="1100"/>
          </a:p>
        </cdr:txBody>
      </cdr:sp>
    </cdr:grp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84</xdr:row>
      <xdr:rowOff>9525</xdr:rowOff>
    </xdr:from>
    <xdr:to>
      <xdr:col>14</xdr:col>
      <xdr:colOff>47626</xdr:colOff>
      <xdr:row>111</xdr:row>
      <xdr:rowOff>157164</xdr:rowOff>
    </xdr:to>
    <xdr:graphicFrame macro="">
      <xdr:nvGraphicFramePr>
        <xdr:cNvPr id="4" name="Chart 3">
          <a:extLst>
            <a:ext uri="{FF2B5EF4-FFF2-40B4-BE49-F238E27FC236}">
              <a16:creationId xmlns:a16="http://schemas.microsoft.com/office/drawing/2014/main" id="{6C458C49-AE73-494D-951D-13A45112F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51</xdr:col>
      <xdr:colOff>371475</xdr:colOff>
      <xdr:row>87</xdr:row>
      <xdr:rowOff>23811</xdr:rowOff>
    </xdr:from>
    <xdr:to>
      <xdr:col>78</xdr:col>
      <xdr:colOff>219077</xdr:colOff>
      <xdr:row>114</xdr:row>
      <xdr:rowOff>171453</xdr:rowOff>
    </xdr:to>
    <xdr:graphicFrame macro="">
      <xdr:nvGraphicFramePr>
        <xdr:cNvPr id="5" name="Chart 4">
          <a:extLst>
            <a:ext uri="{FF2B5EF4-FFF2-40B4-BE49-F238E27FC236}">
              <a16:creationId xmlns:a16="http://schemas.microsoft.com/office/drawing/2014/main" id="{34CB7CCD-A22B-48C2-90BD-6E06ACCD3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28</xdr:row>
      <xdr:rowOff>19050</xdr:rowOff>
    </xdr:from>
    <xdr:to>
      <xdr:col>14</xdr:col>
      <xdr:colOff>47626</xdr:colOff>
      <xdr:row>55</xdr:row>
      <xdr:rowOff>166689</xdr:rowOff>
    </xdr:to>
    <xdr:graphicFrame macro="">
      <xdr:nvGraphicFramePr>
        <xdr:cNvPr id="6" name="Chart 5">
          <a:extLst>
            <a:ext uri="{FF2B5EF4-FFF2-40B4-BE49-F238E27FC236}">
              <a16:creationId xmlns:a16="http://schemas.microsoft.com/office/drawing/2014/main" id="{C7B52849-984B-46E7-86A5-B99056768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85</xdr:row>
      <xdr:rowOff>9525</xdr:rowOff>
    </xdr:from>
    <xdr:to>
      <xdr:col>14</xdr:col>
      <xdr:colOff>47626</xdr:colOff>
      <xdr:row>112</xdr:row>
      <xdr:rowOff>157164</xdr:rowOff>
    </xdr:to>
    <xdr:graphicFrame macro="">
      <xdr:nvGraphicFramePr>
        <xdr:cNvPr id="3" name="Chart 2">
          <a:extLst>
            <a:ext uri="{FF2B5EF4-FFF2-40B4-BE49-F238E27FC236}">
              <a16:creationId xmlns:a16="http://schemas.microsoft.com/office/drawing/2014/main" id="{E0705B1F-B1BD-4F71-A75D-885BEB9DD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52</xdr:col>
      <xdr:colOff>438148</xdr:colOff>
      <xdr:row>87</xdr:row>
      <xdr:rowOff>95250</xdr:rowOff>
    </xdr:from>
    <xdr:to>
      <xdr:col>79</xdr:col>
      <xdr:colOff>228601</xdr:colOff>
      <xdr:row>115</xdr:row>
      <xdr:rowOff>52389</xdr:rowOff>
    </xdr:to>
    <xdr:graphicFrame macro="">
      <xdr:nvGraphicFramePr>
        <xdr:cNvPr id="4" name="Chart 3">
          <a:extLst>
            <a:ext uri="{FF2B5EF4-FFF2-40B4-BE49-F238E27FC236}">
              <a16:creationId xmlns:a16="http://schemas.microsoft.com/office/drawing/2014/main" id="{71DE9906-A41A-42E5-BACE-0AA3AFCF4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28</xdr:row>
      <xdr:rowOff>19050</xdr:rowOff>
    </xdr:from>
    <xdr:to>
      <xdr:col>14</xdr:col>
      <xdr:colOff>47626</xdr:colOff>
      <xdr:row>55</xdr:row>
      <xdr:rowOff>166689</xdr:rowOff>
    </xdr:to>
    <xdr:graphicFrame macro="">
      <xdr:nvGraphicFramePr>
        <xdr:cNvPr id="5" name="Chart 4">
          <a:extLst>
            <a:ext uri="{FF2B5EF4-FFF2-40B4-BE49-F238E27FC236}">
              <a16:creationId xmlns:a16="http://schemas.microsoft.com/office/drawing/2014/main" id="{DF4325A9-B28C-41EC-A601-8CE10D61E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75</xdr:row>
      <xdr:rowOff>9525</xdr:rowOff>
    </xdr:from>
    <xdr:to>
      <xdr:col>14</xdr:col>
      <xdr:colOff>47626</xdr:colOff>
      <xdr:row>102</xdr:row>
      <xdr:rowOff>157164</xdr:rowOff>
    </xdr:to>
    <xdr:graphicFrame macro="">
      <xdr:nvGraphicFramePr>
        <xdr:cNvPr id="3" name="Chart 2">
          <a:extLst>
            <a:ext uri="{FF2B5EF4-FFF2-40B4-BE49-F238E27FC236}">
              <a16:creationId xmlns:a16="http://schemas.microsoft.com/office/drawing/2014/main" id="{FB2A22A8-AC25-4581-A1E1-5BFF9722D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14</xdr:col>
      <xdr:colOff>291352</xdr:colOff>
      <xdr:row>53</xdr:row>
      <xdr:rowOff>123265</xdr:rowOff>
    </xdr:to>
    <xdr:graphicFrame macro="">
      <xdr:nvGraphicFramePr>
        <xdr:cNvPr id="5" name="Chart 4">
          <a:extLst>
            <a:ext uri="{FF2B5EF4-FFF2-40B4-BE49-F238E27FC236}">
              <a16:creationId xmlns:a16="http://schemas.microsoft.com/office/drawing/2014/main" id="{2A53B5C7-E79A-4FC4-B1DA-FA7C1B470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180976</xdr:rowOff>
    </xdr:from>
    <xdr:to>
      <xdr:col>11</xdr:col>
      <xdr:colOff>542925</xdr:colOff>
      <xdr:row>12</xdr:row>
      <xdr:rowOff>125016</xdr:rowOff>
    </xdr:to>
    <xdr:sp macro="" textlink="">
      <xdr:nvSpPr>
        <xdr:cNvPr id="2" name="TextBox 1">
          <a:extLst>
            <a:ext uri="{FF2B5EF4-FFF2-40B4-BE49-F238E27FC236}">
              <a16:creationId xmlns:a16="http://schemas.microsoft.com/office/drawing/2014/main" id="{3C131388-613B-40C9-B09F-FB0ACCB50AE5}"/>
            </a:ext>
          </a:extLst>
        </xdr:cNvPr>
        <xdr:cNvSpPr txBox="1"/>
      </xdr:nvSpPr>
      <xdr:spPr>
        <a:xfrm>
          <a:off x="178594" y="1323976"/>
          <a:ext cx="6615112" cy="896540"/>
        </a:xfrm>
        <a:prstGeom prst="rect">
          <a:avLst/>
        </a:prstGeom>
        <a:solidFill>
          <a:schemeClr val="accent2">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Instructions</a:t>
          </a:r>
        </a:p>
        <a:p>
          <a:pPr lvl="1"/>
          <a:r>
            <a:rPr lang="en-AU" sz="1100" b="0" baseline="0">
              <a:solidFill>
                <a:schemeClr val="dk1"/>
              </a:solidFill>
              <a:effectLst/>
              <a:latin typeface="+mn-lt"/>
              <a:ea typeface="+mn-ea"/>
              <a:cs typeface="+mn-cs"/>
            </a:rPr>
            <a:t>See the accompanying user manual for instructions on how to use the Tree Costing Tool</a:t>
          </a:r>
        </a:p>
        <a:p>
          <a:pPr lvl="1"/>
          <a:endParaRPr lang="en-AU" sz="1100" b="0" baseline="0">
            <a:solidFill>
              <a:schemeClr val="dk1"/>
            </a:solidFill>
            <a:effectLst/>
            <a:latin typeface="+mn-lt"/>
            <a:ea typeface="+mn-ea"/>
            <a:cs typeface="+mn-cs"/>
          </a:endParaRPr>
        </a:p>
        <a:p>
          <a:pPr lvl="1"/>
          <a:endParaRPr lang="en-AU" sz="1100" b="0" baseline="0">
            <a:solidFill>
              <a:schemeClr val="dk1"/>
            </a:solidFill>
            <a:effectLst/>
            <a:latin typeface="+mn-lt"/>
            <a:ea typeface="+mn-ea"/>
            <a:cs typeface="+mn-cs"/>
          </a:endParaRPr>
        </a:p>
        <a:p>
          <a:pPr lvl="1"/>
          <a:endParaRPr lang="en-AU" sz="1100" b="0" baseline="0">
            <a:solidFill>
              <a:schemeClr val="dk1"/>
            </a:solidFill>
            <a:effectLst/>
            <a:latin typeface="+mn-lt"/>
            <a:ea typeface="+mn-ea"/>
            <a:cs typeface="+mn-cs"/>
          </a:endParaRPr>
        </a:p>
        <a:p>
          <a:endParaRPr lang="en-AU" sz="1100" b="0" baseline="0"/>
        </a:p>
        <a:p>
          <a:endParaRPr lang="en-AU"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112395</xdr:colOff>
      <xdr:row>16</xdr:row>
      <xdr:rowOff>97155</xdr:rowOff>
    </xdr:from>
    <xdr:to>
      <xdr:col>6</xdr:col>
      <xdr:colOff>661035</xdr:colOff>
      <xdr:row>31</xdr:row>
      <xdr:rowOff>142875</xdr:rowOff>
    </xdr:to>
    <xdr:graphicFrame macro="">
      <xdr:nvGraphicFramePr>
        <xdr:cNvPr id="3" name="Chart 2">
          <a:extLst>
            <a:ext uri="{FF2B5EF4-FFF2-40B4-BE49-F238E27FC236}">
              <a16:creationId xmlns:a16="http://schemas.microsoft.com/office/drawing/2014/main" id="{8D93D188-5F3A-4C9A-B716-62EBAC6C5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28576</xdr:colOff>
      <xdr:row>16</xdr:row>
      <xdr:rowOff>106680</xdr:rowOff>
    </xdr:from>
    <xdr:to>
      <xdr:col>3</xdr:col>
      <xdr:colOff>47626</xdr:colOff>
      <xdr:row>31</xdr:row>
      <xdr:rowOff>152400</xdr:rowOff>
    </xdr:to>
    <xdr:graphicFrame macro="">
      <xdr:nvGraphicFramePr>
        <xdr:cNvPr id="6" name="Chart 5">
          <a:extLst>
            <a:ext uri="{FF2B5EF4-FFF2-40B4-BE49-F238E27FC236}">
              <a16:creationId xmlns:a16="http://schemas.microsoft.com/office/drawing/2014/main" id="{B36E4CA3-FAFC-4016-84F6-CBFADEDC1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19051</xdr:colOff>
      <xdr:row>16</xdr:row>
      <xdr:rowOff>85724</xdr:rowOff>
    </xdr:from>
    <xdr:to>
      <xdr:col>11</xdr:col>
      <xdr:colOff>0</xdr:colOff>
      <xdr:row>31</xdr:row>
      <xdr:rowOff>131444</xdr:rowOff>
    </xdr:to>
    <xdr:graphicFrame macro="">
      <xdr:nvGraphicFramePr>
        <xdr:cNvPr id="5" name="Chart 4">
          <a:extLst>
            <a:ext uri="{FF2B5EF4-FFF2-40B4-BE49-F238E27FC236}">
              <a16:creationId xmlns:a16="http://schemas.microsoft.com/office/drawing/2014/main" id="{152CF0BE-1538-47FD-94BF-ED24B8473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57151</xdr:rowOff>
    </xdr:from>
    <xdr:to>
      <xdr:col>14</xdr:col>
      <xdr:colOff>476250</xdr:colOff>
      <xdr:row>15</xdr:row>
      <xdr:rowOff>95250</xdr:rowOff>
    </xdr:to>
    <xdr:sp macro="" textlink="">
      <xdr:nvSpPr>
        <xdr:cNvPr id="2" name="Speech Bubble: Rectangle 1">
          <a:extLst>
            <a:ext uri="{FF2B5EF4-FFF2-40B4-BE49-F238E27FC236}">
              <a16:creationId xmlns:a16="http://schemas.microsoft.com/office/drawing/2014/main" id="{F3D4867A-C6A1-4A7E-85D9-AB028015609A}"/>
            </a:ext>
          </a:extLst>
        </xdr:cNvPr>
        <xdr:cNvSpPr/>
      </xdr:nvSpPr>
      <xdr:spPr>
        <a:xfrm>
          <a:off x="0" y="57151"/>
          <a:ext cx="5029200" cy="2895599"/>
        </a:xfrm>
        <a:prstGeom prst="wedgeRectCallout">
          <a:avLst>
            <a:gd name="adj1" fmla="val 19968"/>
            <a:gd name="adj2" fmla="val -48029"/>
          </a:avLst>
        </a:prstGeom>
        <a:effectLst>
          <a:outerShdw blurRad="50800" dist="38100" dir="2700000" algn="tl" rotWithShape="0">
            <a:prstClr val="black">
              <a:alpha val="40000"/>
            </a:prstClr>
          </a:outerShdw>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en-US" sz="1100" b="1" u="sng" cap="none" spc="0" baseline="0">
              <a:ln>
                <a:noFill/>
              </a:ln>
              <a:solidFill>
                <a:schemeClr val="tx1"/>
              </a:solidFill>
              <a:effectLst/>
              <a:latin typeface="+mn-lt"/>
              <a:ea typeface="+mn-ea"/>
              <a:cs typeface="+mn-cs"/>
            </a:rPr>
            <a:t>Instructions for entering your own costing data</a:t>
          </a:r>
        </a:p>
        <a:p>
          <a:endParaRPr lang="en-US" sz="1100" b="0" baseline="0">
            <a:solidFill>
              <a:schemeClr val="lt1"/>
            </a:solidFill>
            <a:effectLst/>
            <a:latin typeface="+mn-lt"/>
            <a:ea typeface="+mn-ea"/>
            <a:cs typeface="+mn-cs"/>
          </a:endParaRPr>
        </a:p>
        <a:p>
          <a:r>
            <a:rPr lang="en-US" sz="1100" b="0" baseline="0">
              <a:solidFill>
                <a:schemeClr val="lt1"/>
              </a:solidFill>
              <a:effectLst/>
              <a:latin typeface="+mn-lt"/>
              <a:ea typeface="+mn-ea"/>
              <a:cs typeface="+mn-cs"/>
            </a:rPr>
            <a:t>1. Use the three tables on the below to enter your estimated costs for each item/activity. </a:t>
          </a:r>
        </a:p>
        <a:p>
          <a:r>
            <a:rPr lang="en-US" sz="1100" b="0" baseline="0">
              <a:solidFill>
                <a:schemeClr val="lt1"/>
              </a:solidFill>
              <a:effectLst/>
              <a:latin typeface="+mn-lt"/>
              <a:ea typeface="+mn-ea"/>
              <a:cs typeface="+mn-cs"/>
            </a:rPr>
            <a:t>      Where:</a:t>
          </a:r>
        </a:p>
        <a:p>
          <a:r>
            <a:rPr lang="en-US" sz="1100" b="0" baseline="0">
              <a:solidFill>
                <a:schemeClr val="lt1"/>
              </a:solidFill>
              <a:effectLst/>
              <a:latin typeface="+mn-lt"/>
              <a:ea typeface="+mn-ea"/>
              <a:cs typeface="+mn-cs"/>
            </a:rPr>
            <a:t>	"Low" is the lowest price you expect</a:t>
          </a:r>
        </a:p>
        <a:p>
          <a:r>
            <a:rPr lang="en-US" sz="1100" b="0" baseline="0">
              <a:solidFill>
                <a:schemeClr val="lt1"/>
              </a:solidFill>
              <a:effectLst/>
              <a:latin typeface="+mn-lt"/>
              <a:ea typeface="+mn-ea"/>
              <a:cs typeface="+mn-cs"/>
            </a:rPr>
            <a:t>	"Most likely" is the most likely cost you expect</a:t>
          </a:r>
        </a:p>
        <a:p>
          <a:r>
            <a:rPr lang="en-US" sz="1100" b="0" baseline="0">
              <a:solidFill>
                <a:schemeClr val="lt1"/>
              </a:solidFill>
              <a:effectLst/>
              <a:latin typeface="+mn-lt"/>
              <a:ea typeface="+mn-ea"/>
              <a:cs typeface="+mn-cs"/>
            </a:rPr>
            <a:t>	"Highest" is the highest cost you expect</a:t>
          </a:r>
        </a:p>
        <a:p>
          <a:endParaRPr lang="en-US" sz="1100" b="0" baseline="0">
            <a:solidFill>
              <a:schemeClr val="lt1"/>
            </a:solidFill>
            <a:effectLst/>
            <a:latin typeface="+mn-lt"/>
            <a:ea typeface="+mn-ea"/>
            <a:cs typeface="+mn-cs"/>
          </a:endParaRPr>
        </a:p>
        <a:p>
          <a:r>
            <a:rPr lang="en-US" sz="1100" b="0" baseline="0">
              <a:solidFill>
                <a:schemeClr val="lt1"/>
              </a:solidFill>
              <a:effectLst/>
              <a:latin typeface="+mn-lt"/>
              <a:ea typeface="+mn-ea"/>
              <a:cs typeface="+mn-cs"/>
            </a:rPr>
            <a:t>2. If you have </a:t>
          </a:r>
          <a:r>
            <a:rPr lang="en-US" sz="1100" b="1" u="sng" baseline="0">
              <a:solidFill>
                <a:schemeClr val="lt1"/>
              </a:solidFill>
              <a:effectLst/>
              <a:latin typeface="+mn-lt"/>
              <a:ea typeface="+mn-ea"/>
              <a:cs typeface="+mn-cs"/>
            </a:rPr>
            <a:t>actual/quoted cost</a:t>
          </a:r>
          <a:r>
            <a:rPr lang="en-US" sz="1100" b="0" baseline="0">
              <a:solidFill>
                <a:schemeClr val="lt1"/>
              </a:solidFill>
              <a:effectLst/>
              <a:latin typeface="+mn-lt"/>
              <a:ea typeface="+mn-ea"/>
              <a:cs typeface="+mn-cs"/>
            </a:rPr>
            <a:t>, enter the </a:t>
          </a:r>
          <a:r>
            <a:rPr lang="en-US" sz="1100" b="0" u="sng" baseline="0">
              <a:solidFill>
                <a:schemeClr val="lt1"/>
              </a:solidFill>
              <a:effectLst/>
              <a:latin typeface="+mn-lt"/>
              <a:ea typeface="+mn-ea"/>
              <a:cs typeface="+mn-cs"/>
            </a:rPr>
            <a:t>same value </a:t>
          </a:r>
          <a:r>
            <a:rPr lang="en-US" sz="1100" b="0" baseline="0">
              <a:solidFill>
                <a:schemeClr val="lt1"/>
              </a:solidFill>
              <a:effectLst/>
              <a:latin typeface="+mn-lt"/>
              <a:ea typeface="+mn-ea"/>
              <a:cs typeface="+mn-cs"/>
            </a:rPr>
            <a:t>for that particular item or activity under all three columns (Low, Most likely, and Highest).</a:t>
          </a:r>
        </a:p>
        <a:p>
          <a:endParaRPr lang="en-US" sz="1100" b="0" baseline="0">
            <a:solidFill>
              <a:schemeClr val="lt1"/>
            </a:solidFill>
            <a:effectLst/>
            <a:latin typeface="+mn-lt"/>
            <a:ea typeface="+mn-ea"/>
            <a:cs typeface="+mn-cs"/>
          </a:endParaRPr>
        </a:p>
        <a:p>
          <a:endParaRPr lang="en-US" sz="1100" b="0" baseline="0">
            <a:solidFill>
              <a:schemeClr val="lt1"/>
            </a:solidFill>
            <a:effectLst/>
            <a:latin typeface="+mn-lt"/>
            <a:ea typeface="+mn-ea"/>
            <a:cs typeface="+mn-cs"/>
          </a:endParaRPr>
        </a:p>
        <a:p>
          <a:r>
            <a:rPr lang="en-US" sz="1100" b="0" baseline="0">
              <a:solidFill>
                <a:schemeClr val="lt1"/>
              </a:solidFill>
              <a:effectLst/>
              <a:latin typeface="+mn-lt"/>
              <a:ea typeface="+mn-ea"/>
              <a:cs typeface="+mn-cs"/>
            </a:rPr>
            <a:t>                        	3.  Make sure that all cell entries are left </a:t>
          </a:r>
          <a:r>
            <a:rPr lang="en-US" sz="1100" b="1" u="sng" baseline="0">
              <a:solidFill>
                <a:schemeClr val="lt1"/>
              </a:solidFill>
              <a:effectLst/>
              <a:latin typeface="+mn-lt"/>
              <a:ea typeface="+mn-ea"/>
              <a:cs typeface="+mn-cs"/>
            </a:rPr>
            <a:t>BLANK</a:t>
          </a:r>
          <a:r>
            <a:rPr lang="en-US" sz="1100" b="0" baseline="0">
              <a:solidFill>
                <a:schemeClr val="lt1"/>
              </a:solidFill>
              <a:effectLst/>
              <a:latin typeface="+mn-lt"/>
              <a:ea typeface="+mn-ea"/>
              <a:cs typeface="+mn-cs"/>
            </a:rPr>
            <a:t> if you are using the model inbuilt costing data.</a:t>
          </a:r>
          <a:endParaRPr lang="en-AU">
            <a:effectLst/>
          </a:endParaRPr>
        </a:p>
      </xdr:txBody>
    </xdr:sp>
    <xdr:clientData/>
  </xdr:twoCellAnchor>
  <xdr:twoCellAnchor editAs="oneCell">
    <xdr:from>
      <xdr:col>0</xdr:col>
      <xdr:colOff>66675</xdr:colOff>
      <xdr:row>11</xdr:row>
      <xdr:rowOff>9524</xdr:rowOff>
    </xdr:from>
    <xdr:to>
      <xdr:col>1</xdr:col>
      <xdr:colOff>561976</xdr:colOff>
      <xdr:row>15</xdr:row>
      <xdr:rowOff>38100</xdr:rowOff>
    </xdr:to>
    <xdr:pic>
      <xdr:nvPicPr>
        <xdr:cNvPr id="3" name="Picture 2">
          <a:extLst>
            <a:ext uri="{FF2B5EF4-FFF2-40B4-BE49-F238E27FC236}">
              <a16:creationId xmlns:a16="http://schemas.microsoft.com/office/drawing/2014/main" id="{F971265D-6D29-4153-B47A-B50B91206274}"/>
            </a:ext>
          </a:extLst>
        </xdr:cNvPr>
        <xdr:cNvPicPr>
          <a:picLocks noChangeAspect="1"/>
        </xdr:cNvPicPr>
      </xdr:nvPicPr>
      <xdr:blipFill>
        <a:blip xmlns:r="http://schemas.openxmlformats.org/officeDocument/2006/relationships" r:embed="rId1"/>
        <a:stretch>
          <a:fillRect/>
        </a:stretch>
      </xdr:blipFill>
      <xdr:spPr>
        <a:xfrm>
          <a:off x="66675" y="2105024"/>
          <a:ext cx="695326" cy="79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365AE374-0236-4993-B752-5C60FD5F034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0.16484</cdr:x>
      <cdr:y>0.05144</cdr:y>
    </cdr:from>
    <cdr:to>
      <cdr:x>0.43187</cdr:x>
      <cdr:y>0.09531</cdr:y>
    </cdr:to>
    <cdr:grpSp>
      <cdr:nvGrpSpPr>
        <cdr:cNvPr id="8" name="Group 7">
          <a:extLst xmlns:a="http://schemas.openxmlformats.org/drawingml/2006/main">
            <a:ext uri="{FF2B5EF4-FFF2-40B4-BE49-F238E27FC236}">
              <a16:creationId xmlns:a16="http://schemas.microsoft.com/office/drawing/2014/main" id="{D2882B03-8797-4683-A2D9-D0B584FC3033}"/>
            </a:ext>
          </a:extLst>
        </cdr:cNvPr>
        <cdr:cNvGrpSpPr/>
      </cdr:nvGrpSpPr>
      <cdr:grpSpPr>
        <a:xfrm xmlns:a="http://schemas.openxmlformats.org/drawingml/2006/main">
          <a:off x="1428792" y="323868"/>
          <a:ext cx="2314549" cy="276206"/>
          <a:chOff x="1428750" y="323849"/>
          <a:chExt cx="2314574" cy="276226"/>
        </a:xfrm>
      </cdr:grpSpPr>
      <cdr:sp macro="" textlink="Dashboard_1!$G$6">
        <cdr:nvSpPr>
          <cdr:cNvPr id="3" name="TextBox 2">
            <a:extLst xmlns:a="http://schemas.openxmlformats.org/drawingml/2006/main">
              <a:ext uri="{FF2B5EF4-FFF2-40B4-BE49-F238E27FC236}">
                <a16:creationId xmlns:a16="http://schemas.microsoft.com/office/drawing/2014/main" id="{2D8B60DF-38C0-4501-93D5-2299D90E454A}"/>
              </a:ext>
            </a:extLst>
          </cdr:cNvPr>
          <cdr:cNvSpPr txBox="1"/>
        </cdr:nvSpPr>
        <cdr:spPr>
          <a:xfrm xmlns:a="http://schemas.openxmlformats.org/drawingml/2006/main">
            <a:off x="2733675" y="323849"/>
            <a:ext cx="1009649"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fld id="{E3052348-CD13-4187-AB99-4A66DEAD189F}" type="TxLink">
              <a:rPr lang="en-US" sz="1100" b="0" i="0" u="none" strike="noStrike">
                <a:solidFill>
                  <a:srgbClr val="000000"/>
                </a:solidFill>
                <a:latin typeface="Calibri"/>
                <a:cs typeface="Calibri"/>
              </a:rPr>
              <a:pPr/>
              <a:t>100</a:t>
            </a:fld>
            <a:endParaRPr lang="en-AU" sz="1100"/>
          </a:p>
        </cdr:txBody>
      </cdr:sp>
      <cdr:sp macro="" textlink="">
        <cdr:nvSpPr>
          <cdr:cNvPr id="4" name="TextBox 3">
            <a:extLst xmlns:a="http://schemas.openxmlformats.org/drawingml/2006/main">
              <a:ext uri="{FF2B5EF4-FFF2-40B4-BE49-F238E27FC236}">
                <a16:creationId xmlns:a16="http://schemas.microsoft.com/office/drawing/2014/main" id="{3591E9F4-4534-4B44-A9D9-03FB1C29B79F}"/>
              </a:ext>
            </a:extLst>
          </cdr:cNvPr>
          <cdr:cNvSpPr txBox="1"/>
        </cdr:nvSpPr>
        <cdr:spPr>
          <a:xfrm xmlns:a="http://schemas.openxmlformats.org/drawingml/2006/main">
            <a:off x="1428750" y="323850"/>
            <a:ext cx="1314450"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r>
              <a:rPr lang="en-AU" sz="1100"/>
              <a:t>No. of trees:</a:t>
            </a:r>
          </a:p>
        </cdr:txBody>
      </cdr:sp>
    </cdr:grpSp>
  </cdr:relSizeAnchor>
  <cdr:relSizeAnchor xmlns:cdr="http://schemas.openxmlformats.org/drawingml/2006/chartDrawing">
    <cdr:from>
      <cdr:x>0.60989</cdr:x>
      <cdr:y>0.05194</cdr:y>
    </cdr:from>
    <cdr:to>
      <cdr:x>0.94835</cdr:x>
      <cdr:y>0.09834</cdr:y>
    </cdr:to>
    <cdr:grpSp>
      <cdr:nvGrpSpPr>
        <cdr:cNvPr id="7" name="Group 6">
          <a:extLst xmlns:a="http://schemas.openxmlformats.org/drawingml/2006/main">
            <a:ext uri="{FF2B5EF4-FFF2-40B4-BE49-F238E27FC236}">
              <a16:creationId xmlns:a16="http://schemas.microsoft.com/office/drawing/2014/main" id="{EC4F7F91-56B3-43C5-94A4-6328E6F024CD}"/>
            </a:ext>
          </a:extLst>
        </cdr:cNvPr>
        <cdr:cNvGrpSpPr/>
      </cdr:nvGrpSpPr>
      <cdr:grpSpPr>
        <a:xfrm xmlns:a="http://schemas.openxmlformats.org/drawingml/2006/main">
          <a:off x="5286374" y="327016"/>
          <a:ext cx="2933687" cy="292135"/>
          <a:chOff x="5584825" y="327024"/>
          <a:chExt cx="2063750" cy="208303"/>
        </a:xfrm>
      </cdr:grpSpPr>
      <cdr:sp macro="" textlink="">
        <cdr:nvSpPr>
          <cdr:cNvPr id="5" name="TextBox 1">
            <a:extLst xmlns:a="http://schemas.openxmlformats.org/drawingml/2006/main">
              <a:ext uri="{FF2B5EF4-FFF2-40B4-BE49-F238E27FC236}">
                <a16:creationId xmlns:a16="http://schemas.microsoft.com/office/drawing/2014/main" id="{113E0941-49E4-4034-962F-DCF201928E4A}"/>
              </a:ext>
            </a:extLst>
          </cdr:cNvPr>
          <cdr:cNvSpPr txBox="1"/>
        </cdr:nvSpPr>
        <cdr:spPr>
          <a:xfrm xmlns:a="http://schemas.openxmlformats.org/drawingml/2006/main">
            <a:off x="5584825" y="327024"/>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Plant</a:t>
            </a:r>
            <a:r>
              <a:rPr lang="en-AU" sz="1100" baseline="0"/>
              <a:t> pot size:</a:t>
            </a:r>
            <a:endParaRPr lang="en-AU" sz="1100"/>
          </a:p>
        </cdr:txBody>
      </cdr:sp>
      <cdr:sp macro="" textlink="Dashboard_1!$G$7">
        <cdr:nvSpPr>
          <cdr:cNvPr id="6" name="TextBox 1">
            <a:extLst xmlns:a="http://schemas.openxmlformats.org/drawingml/2006/main">
              <a:ext uri="{FF2B5EF4-FFF2-40B4-BE49-F238E27FC236}">
                <a16:creationId xmlns:a16="http://schemas.microsoft.com/office/drawing/2014/main" id="{84C19C6B-2AF7-4D2E-8CBB-7EB469468FC7}"/>
              </a:ext>
            </a:extLst>
          </cdr:cNvPr>
          <cdr:cNvSpPr txBox="1"/>
        </cdr:nvSpPr>
        <cdr:spPr>
          <a:xfrm xmlns:a="http://schemas.openxmlformats.org/drawingml/2006/main">
            <a:off x="6613525" y="327025"/>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21C0C4E-6349-4580-B2B1-3D710E26ADCC}" type="TxLink">
              <a:rPr lang="en-US" sz="1100" b="0" i="0" u="none" strike="noStrike">
                <a:solidFill>
                  <a:srgbClr val="000000"/>
                </a:solidFill>
                <a:latin typeface="Calibri"/>
                <a:cs typeface="Calibri"/>
              </a:rPr>
              <a:pPr/>
              <a:t>Volume 250L</a:t>
            </a:fld>
            <a:endParaRPr lang="en-AU" sz="1100"/>
          </a:p>
        </cdr:txBody>
      </cdr:sp>
    </cdr:grpSp>
  </cdr:relSizeAnchor>
</c:userShapes>
</file>

<file path=xl/drawings/drawing7.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B7717DF-149F-4A63-B081-04ED8D6C53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0.16484</cdr:x>
      <cdr:y>0.05144</cdr:y>
    </cdr:from>
    <cdr:to>
      <cdr:x>0.43187</cdr:x>
      <cdr:y>0.09531</cdr:y>
    </cdr:to>
    <cdr:grpSp>
      <cdr:nvGrpSpPr>
        <cdr:cNvPr id="8" name="Group 7">
          <a:extLst xmlns:a="http://schemas.openxmlformats.org/drawingml/2006/main">
            <a:ext uri="{FF2B5EF4-FFF2-40B4-BE49-F238E27FC236}">
              <a16:creationId xmlns:a16="http://schemas.microsoft.com/office/drawing/2014/main" id="{D2882B03-8797-4683-A2D9-D0B584FC3033}"/>
            </a:ext>
          </a:extLst>
        </cdr:cNvPr>
        <cdr:cNvGrpSpPr/>
      </cdr:nvGrpSpPr>
      <cdr:grpSpPr>
        <a:xfrm xmlns:a="http://schemas.openxmlformats.org/drawingml/2006/main">
          <a:off x="1428792" y="323868"/>
          <a:ext cx="2314549" cy="276206"/>
          <a:chOff x="1428750" y="323849"/>
          <a:chExt cx="2314574" cy="276226"/>
        </a:xfrm>
      </cdr:grpSpPr>
      <cdr:sp macro="" textlink="#REF!">
        <cdr:nvSpPr>
          <cdr:cNvPr id="3" name="TextBox 2">
            <a:extLst xmlns:a="http://schemas.openxmlformats.org/drawingml/2006/main">
              <a:ext uri="{FF2B5EF4-FFF2-40B4-BE49-F238E27FC236}">
                <a16:creationId xmlns:a16="http://schemas.microsoft.com/office/drawing/2014/main" id="{2D8B60DF-38C0-4501-93D5-2299D90E454A}"/>
              </a:ext>
            </a:extLst>
          </cdr:cNvPr>
          <cdr:cNvSpPr txBox="1"/>
        </cdr:nvSpPr>
        <cdr:spPr>
          <a:xfrm xmlns:a="http://schemas.openxmlformats.org/drawingml/2006/main">
            <a:off x="2733675" y="323849"/>
            <a:ext cx="1009649"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fld id="{63A10234-CD5E-4AD1-84FA-87E959509D23}" type="TxLink">
              <a:rPr lang="en-US" sz="1100" b="0" i="0" u="none" strike="noStrike">
                <a:solidFill>
                  <a:srgbClr val="000000"/>
                </a:solidFill>
                <a:latin typeface="Calibri"/>
                <a:cs typeface="Calibri"/>
              </a:rPr>
              <a:pPr/>
              <a:t>10</a:t>
            </a:fld>
            <a:endParaRPr lang="en-AU" sz="1100"/>
          </a:p>
        </cdr:txBody>
      </cdr:sp>
      <cdr:sp macro="" textlink="">
        <cdr:nvSpPr>
          <cdr:cNvPr id="4" name="TextBox 3">
            <a:extLst xmlns:a="http://schemas.openxmlformats.org/drawingml/2006/main">
              <a:ext uri="{FF2B5EF4-FFF2-40B4-BE49-F238E27FC236}">
                <a16:creationId xmlns:a16="http://schemas.microsoft.com/office/drawing/2014/main" id="{3591E9F4-4534-4B44-A9D9-03FB1C29B79F}"/>
              </a:ext>
            </a:extLst>
          </cdr:cNvPr>
          <cdr:cNvSpPr txBox="1"/>
        </cdr:nvSpPr>
        <cdr:spPr>
          <a:xfrm xmlns:a="http://schemas.openxmlformats.org/drawingml/2006/main">
            <a:off x="1428750" y="323850"/>
            <a:ext cx="1314450" cy="276225"/>
          </a:xfrm>
          <a:prstGeom xmlns:a="http://schemas.openxmlformats.org/drawingml/2006/main" prst="rect">
            <a:avLst/>
          </a:prstGeom>
          <a:solidFill xmlns:a="http://schemas.openxmlformats.org/drawingml/2006/main">
            <a:schemeClr val="tx2"/>
          </a:solidFill>
        </cdr:spPr>
        <cdr:txBody>
          <a:bodyPr xmlns:a="http://schemas.openxmlformats.org/drawingml/2006/main" vertOverflow="clip" wrap="square" rtlCol="0"/>
          <a:lstStyle xmlns:a="http://schemas.openxmlformats.org/drawingml/2006/main"/>
          <a:p xmlns:a="http://schemas.openxmlformats.org/drawingml/2006/main">
            <a:r>
              <a:rPr lang="en-AU" sz="1100"/>
              <a:t>No. of trees:</a:t>
            </a:r>
          </a:p>
        </cdr:txBody>
      </cdr:sp>
    </cdr:grpSp>
  </cdr:relSizeAnchor>
  <cdr:relSizeAnchor xmlns:cdr="http://schemas.openxmlformats.org/drawingml/2006/chartDrawing">
    <cdr:from>
      <cdr:x>0.60989</cdr:x>
      <cdr:y>0.05194</cdr:y>
    </cdr:from>
    <cdr:to>
      <cdr:x>0.94835</cdr:x>
      <cdr:y>0.09834</cdr:y>
    </cdr:to>
    <cdr:grpSp>
      <cdr:nvGrpSpPr>
        <cdr:cNvPr id="7" name="Group 6">
          <a:extLst xmlns:a="http://schemas.openxmlformats.org/drawingml/2006/main">
            <a:ext uri="{FF2B5EF4-FFF2-40B4-BE49-F238E27FC236}">
              <a16:creationId xmlns:a16="http://schemas.microsoft.com/office/drawing/2014/main" id="{EC4F7F91-56B3-43C5-94A4-6328E6F024CD}"/>
            </a:ext>
          </a:extLst>
        </cdr:cNvPr>
        <cdr:cNvGrpSpPr/>
      </cdr:nvGrpSpPr>
      <cdr:grpSpPr>
        <a:xfrm xmlns:a="http://schemas.openxmlformats.org/drawingml/2006/main">
          <a:off x="5286374" y="327016"/>
          <a:ext cx="2933687" cy="292135"/>
          <a:chOff x="5584825" y="327024"/>
          <a:chExt cx="2063750" cy="208303"/>
        </a:xfrm>
      </cdr:grpSpPr>
      <cdr:sp macro="" textlink="">
        <cdr:nvSpPr>
          <cdr:cNvPr id="5" name="TextBox 1">
            <a:extLst xmlns:a="http://schemas.openxmlformats.org/drawingml/2006/main">
              <a:ext uri="{FF2B5EF4-FFF2-40B4-BE49-F238E27FC236}">
                <a16:creationId xmlns:a16="http://schemas.microsoft.com/office/drawing/2014/main" id="{113E0941-49E4-4034-962F-DCF201928E4A}"/>
              </a:ext>
            </a:extLst>
          </cdr:cNvPr>
          <cdr:cNvSpPr txBox="1"/>
        </cdr:nvSpPr>
        <cdr:spPr>
          <a:xfrm xmlns:a="http://schemas.openxmlformats.org/drawingml/2006/main">
            <a:off x="5584825" y="327024"/>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Plant</a:t>
            </a:r>
            <a:r>
              <a:rPr lang="en-AU" sz="1100" baseline="0"/>
              <a:t> pot size:</a:t>
            </a:r>
            <a:endParaRPr lang="en-AU" sz="1100"/>
          </a:p>
        </cdr:txBody>
      </cdr:sp>
      <cdr:sp macro="" textlink="#REF!">
        <cdr:nvSpPr>
          <cdr:cNvPr id="6" name="TextBox 1">
            <a:extLst xmlns:a="http://schemas.openxmlformats.org/drawingml/2006/main">
              <a:ext uri="{FF2B5EF4-FFF2-40B4-BE49-F238E27FC236}">
                <a16:creationId xmlns:a16="http://schemas.microsoft.com/office/drawing/2014/main" id="{84C19C6B-2AF7-4D2E-8CBB-7EB469468FC7}"/>
              </a:ext>
            </a:extLst>
          </cdr:cNvPr>
          <cdr:cNvSpPr txBox="1"/>
        </cdr:nvSpPr>
        <cdr:spPr>
          <a:xfrm xmlns:a="http://schemas.openxmlformats.org/drawingml/2006/main">
            <a:off x="6613525" y="327025"/>
            <a:ext cx="1035050" cy="208302"/>
          </a:xfrm>
          <a:prstGeom xmlns:a="http://schemas.openxmlformats.org/drawingml/2006/main" prst="rect">
            <a:avLst/>
          </a:prstGeom>
          <a:solidFill xmlns:a="http://schemas.openxmlformats.org/drawingml/2006/main">
            <a:schemeClr val="tx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D8D785C-AAEB-48BE-A5AD-2CFC9BD78B1F}" type="TxLink">
              <a:rPr lang="en-US" sz="1100" b="0" i="0" u="none" strike="noStrike">
                <a:solidFill>
                  <a:srgbClr val="000000"/>
                </a:solidFill>
                <a:latin typeface="Calibri"/>
                <a:cs typeface="Calibri"/>
              </a:rPr>
              <a:pPr/>
              <a:t>Volume 250L</a:t>
            </a:fld>
            <a:endParaRPr lang="en-AU" sz="1100"/>
          </a:p>
        </cdr:txBody>
      </cdr:sp>
    </cdr:grpSp>
  </cdr:relSizeAnchor>
</c:userShapes>
</file>

<file path=xl/drawings/drawing9.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9BE38F72-AD06-4C66-9C60-F0EE271545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Buyani Thomy" id="{5C840118-ED01-4E6D-A75D-DE60411B20B5}" userId="S::buyani.thomy@nceconomics.com::87741f96-fb1b-4511-8290-5ab581d79064" providerId="AD"/>
</personList>
</file>

<file path=xl/theme/theme1.xml><?xml version="1.0" encoding="utf-8"?>
<a:theme xmlns:a="http://schemas.openxmlformats.org/drawingml/2006/main" name="Office Theme">
  <a:themeElements>
    <a:clrScheme name="NCE colours">
      <a:dk1>
        <a:sysClr val="windowText" lastClr="000000"/>
      </a:dk1>
      <a:lt1>
        <a:sysClr val="window" lastClr="FFFFFF"/>
      </a:lt1>
      <a:dk2>
        <a:srgbClr val="BFBFBF"/>
      </a:dk2>
      <a:lt2>
        <a:srgbClr val="FFFFFF"/>
      </a:lt2>
      <a:accent1>
        <a:srgbClr val="259E9A"/>
      </a:accent1>
      <a:accent2>
        <a:srgbClr val="95CFC5"/>
      </a:accent2>
      <a:accent3>
        <a:srgbClr val="274A5B"/>
      </a:accent3>
      <a:accent4>
        <a:srgbClr val="7FA2BF"/>
      </a:accent4>
      <a:accent5>
        <a:srgbClr val="FFCC00"/>
      </a:accent5>
      <a:accent6>
        <a:srgbClr val="FF5050"/>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 dT="2019-10-15T05:34:08.62" personId="{5C840118-ED01-4E6D-A75D-DE60411B20B5}" id="{1B40262C-443D-4AF4-8A24-60C4AA5E442F}">
    <text>loosely based on prices at 
https://www.gotreequotes.com.au/arborist-cost-guide/#Arborist-prices-per-hour</text>
  </threadedComment>
  <threadedComment ref="B76" dT="2020-08-17T23:41:13.79" personId="{5C840118-ED01-4E6D-A75D-DE60411B20B5}" id="{A98D986D-5EA2-40F8-A632-38B44DCE9739}">
    <text>based on national tree removal costs: https://www.gotreequotes.com.au/tree-removal-cost-guide/average-cost-of-tree-removal/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s://fernland.com.au/landscape-revegetation-supplies/stakes/tree-protection-sleeves-guards.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holbrooklandcare.org.au/wp-content/uploads/2015/08/HLN-Planning-your-revegetation-fact-sheet.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91C8-FC0F-46D6-9E6C-3A58A6D15031}">
  <sheetPr>
    <pageSetUpPr fitToPage="1"/>
  </sheetPr>
  <dimension ref="A1:L26"/>
  <sheetViews>
    <sheetView zoomScale="115" zoomScaleNormal="115" workbookViewId="0">
      <selection activeCell="B1" sqref="B1"/>
    </sheetView>
  </sheetViews>
  <sheetFormatPr defaultColWidth="0" defaultRowHeight="14.25" zeroHeight="1" x14ac:dyDescent="0.45"/>
  <cols>
    <col min="1" max="11" width="9" style="56" customWidth="1"/>
    <col min="12" max="12" width="2.86328125" style="56" hidden="1" customWidth="1"/>
    <col min="13" max="16384" width="9.1328125" style="56" hidden="1"/>
  </cols>
  <sheetData>
    <row r="1" spans="1:11" ht="51.75" customHeight="1" x14ac:dyDescent="0.45">
      <c r="B1" s="55"/>
    </row>
    <row r="2" spans="1:11" x14ac:dyDescent="0.45"/>
    <row r="3" spans="1:11" x14ac:dyDescent="0.45"/>
    <row r="4" spans="1:11" x14ac:dyDescent="0.45"/>
    <row r="5" spans="1:11" x14ac:dyDescent="0.45"/>
    <row r="6" spans="1:11" x14ac:dyDescent="0.45"/>
    <row r="7" spans="1:11" x14ac:dyDescent="0.45"/>
    <row r="8" spans="1:11" x14ac:dyDescent="0.45"/>
    <row r="9" spans="1:11" ht="18" x14ac:dyDescent="0.55000000000000004">
      <c r="A9" s="57" t="s">
        <v>433</v>
      </c>
    </row>
    <row r="10" spans="1:11" ht="20.100000000000001" customHeight="1" x14ac:dyDescent="0.45">
      <c r="A10" s="379"/>
      <c r="B10" s="379"/>
      <c r="C10" s="379"/>
      <c r="D10" s="379"/>
      <c r="E10" s="379"/>
      <c r="F10" s="379"/>
      <c r="G10" s="379"/>
      <c r="H10" s="379"/>
      <c r="I10" s="379"/>
      <c r="J10" s="379"/>
      <c r="K10" s="379"/>
    </row>
    <row r="11" spans="1:11" ht="36.6" customHeight="1" x14ac:dyDescent="0.45">
      <c r="A11" s="378"/>
      <c r="B11" s="378"/>
      <c r="C11" s="378"/>
      <c r="D11" s="378"/>
      <c r="E11" s="378"/>
      <c r="F11" s="378"/>
      <c r="G11" s="378"/>
      <c r="H11" s="378"/>
      <c r="I11" s="378"/>
      <c r="J11" s="378"/>
      <c r="K11" s="378"/>
    </row>
    <row r="12" spans="1:11" x14ac:dyDescent="0.45"/>
    <row r="13" spans="1:11" x14ac:dyDescent="0.45"/>
    <row r="14" spans="1:11" x14ac:dyDescent="0.45"/>
    <row r="15" spans="1:11" x14ac:dyDescent="0.45"/>
    <row r="16" spans="1:11" x14ac:dyDescent="0.45"/>
    <row r="17" x14ac:dyDescent="0.45"/>
    <row r="18" x14ac:dyDescent="0.45"/>
    <row r="19" x14ac:dyDescent="0.45"/>
    <row r="20" x14ac:dyDescent="0.45"/>
    <row r="21" x14ac:dyDescent="0.45"/>
    <row r="22" x14ac:dyDescent="0.45"/>
    <row r="23" x14ac:dyDescent="0.45"/>
    <row r="24" x14ac:dyDescent="0.45"/>
    <row r="25" x14ac:dyDescent="0.45"/>
    <row r="26" x14ac:dyDescent="0.45"/>
  </sheetData>
  <sheetProtection algorithmName="SHA-512" hashValue="zqnv/7A1eYptbgayDSr5yK9UUo1qHimOL1oRtZ2GTiJrqgzAXzp9Oxwzl21dEcKpDSe/chkTLUaKw+qa9MyCpw==" saltValue="aWvMnpG4jJ3y4ACr6u8YcQ==" spinCount="100000" sheet="1" selectLockedCells="1" selectUnlockedCells="1"/>
  <mergeCells count="2">
    <mergeCell ref="A11:K11"/>
    <mergeCell ref="A10:K10"/>
  </mergeCells>
  <pageMargins left="0.7" right="0.7" top="0.75" bottom="0.75" header="0.3" footer="0.3"/>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98D5-54EE-423C-A73C-0C881C17371F}">
  <sheetPr>
    <tabColor rgb="FF38AC98"/>
  </sheetPr>
  <dimension ref="A1:L61"/>
  <sheetViews>
    <sheetView showGridLines="0" zoomScaleNormal="100" workbookViewId="0">
      <pane xSplit="1" ySplit="4" topLeftCell="B5" activePane="bottomRight" state="frozen"/>
      <selection pane="topRight" activeCell="B1" sqref="B1"/>
      <selection pane="bottomLeft" activeCell="A5" sqref="A5"/>
      <selection pane="bottomRight" activeCell="G8" sqref="G8"/>
    </sheetView>
  </sheetViews>
  <sheetFormatPr defaultColWidth="0" defaultRowHeight="14.25" zeroHeight="1" x14ac:dyDescent="0.45"/>
  <cols>
    <col min="1" max="1" width="9.1328125" bestFit="1" customWidth="1"/>
    <col min="2" max="2" width="42.86328125" customWidth="1"/>
    <col min="3" max="3" width="53.86328125" customWidth="1"/>
    <col min="4" max="4" width="26.86328125" style="17" customWidth="1"/>
    <col min="5" max="5" width="2" hidden="1" customWidth="1"/>
    <col min="6" max="6" width="13.73046875" customWidth="1"/>
    <col min="7" max="7" width="14.86328125" customWidth="1"/>
    <col min="8" max="8" width="14.3984375" customWidth="1"/>
    <col min="9" max="16384" width="9.1328125" hidden="1"/>
  </cols>
  <sheetData>
    <row r="1" spans="1:12" s="47" customFormat="1" x14ac:dyDescent="0.45">
      <c r="A1" s="110"/>
      <c r="B1" s="111"/>
      <c r="C1" s="112"/>
      <c r="D1" s="112"/>
      <c r="E1" s="112"/>
      <c r="F1" s="111"/>
      <c r="G1" s="111"/>
      <c r="H1" s="111"/>
      <c r="I1" s="82"/>
      <c r="J1" s="82"/>
      <c r="K1" s="82"/>
      <c r="L1" s="82"/>
    </row>
    <row r="2" spans="1:12" hidden="1" x14ac:dyDescent="0.45">
      <c r="A2" s="14"/>
      <c r="B2" s="382"/>
      <c r="C2" s="382"/>
      <c r="D2" s="382"/>
      <c r="E2" s="382"/>
      <c r="F2" s="382"/>
      <c r="G2" s="382"/>
      <c r="H2" s="382"/>
    </row>
    <row r="3" spans="1:12" ht="18" hidden="1" x14ac:dyDescent="0.45">
      <c r="A3" s="14"/>
      <c r="B3" s="15"/>
      <c r="C3" s="16"/>
      <c r="D3" s="16"/>
      <c r="E3" s="16"/>
      <c r="F3" s="17"/>
      <c r="G3" s="17"/>
      <c r="H3" s="17"/>
    </row>
    <row r="4" spans="1:12" ht="28.5" x14ac:dyDescent="0.45">
      <c r="A4" s="21"/>
      <c r="B4" s="28" t="s">
        <v>10</v>
      </c>
      <c r="C4" s="29" t="s">
        <v>11</v>
      </c>
      <c r="D4" s="29"/>
      <c r="E4" s="29"/>
      <c r="F4" s="29" t="s">
        <v>12</v>
      </c>
      <c r="G4" s="29" t="s">
        <v>38</v>
      </c>
      <c r="H4" s="29" t="s">
        <v>13</v>
      </c>
    </row>
    <row r="5" spans="1:12" x14ac:dyDescent="0.45">
      <c r="A5" s="36" t="s">
        <v>14</v>
      </c>
      <c r="B5" s="19" t="s">
        <v>15</v>
      </c>
      <c r="C5" s="20"/>
      <c r="D5" s="20"/>
      <c r="E5" s="20"/>
      <c r="F5" s="20"/>
      <c r="G5" s="20"/>
      <c r="H5" s="20"/>
    </row>
    <row r="6" spans="1:12" x14ac:dyDescent="0.45">
      <c r="A6" s="356">
        <v>1</v>
      </c>
      <c r="B6" s="102" t="s">
        <v>16</v>
      </c>
      <c r="C6" s="103" t="s">
        <v>17</v>
      </c>
      <c r="D6" s="103"/>
      <c r="E6" s="103"/>
      <c r="F6" s="104"/>
      <c r="G6" s="65">
        <v>100</v>
      </c>
      <c r="H6" s="196">
        <f t="shared" ref="H6" si="0">IF(G6&gt;0,G6,F6)</f>
        <v>100</v>
      </c>
      <c r="J6" s="24"/>
    </row>
    <row r="7" spans="1:12" ht="14.85" customHeight="1" x14ac:dyDescent="0.45">
      <c r="A7" s="357">
        <v>2</v>
      </c>
      <c r="B7" s="63" t="s">
        <v>162</v>
      </c>
      <c r="C7" s="93" t="s">
        <v>18</v>
      </c>
      <c r="D7" s="93"/>
      <c r="E7" s="93"/>
      <c r="F7" s="105"/>
      <c r="G7" s="174" t="s">
        <v>202</v>
      </c>
      <c r="H7" s="160"/>
      <c r="I7" s="119"/>
      <c r="K7" s="31"/>
    </row>
    <row r="8" spans="1:12" ht="14.25" customHeight="1" x14ac:dyDescent="0.45">
      <c r="A8" s="358" t="s">
        <v>361</v>
      </c>
      <c r="B8" s="63" t="s">
        <v>24</v>
      </c>
      <c r="C8" s="384" t="s">
        <v>127</v>
      </c>
      <c r="D8" s="64"/>
      <c r="E8" s="63"/>
      <c r="F8" s="95"/>
      <c r="G8" s="65"/>
      <c r="H8" s="159">
        <f>IF(G8&gt;0,G8,F8)</f>
        <v>0</v>
      </c>
    </row>
    <row r="9" spans="1:12" x14ac:dyDescent="0.45">
      <c r="A9" s="357" t="s">
        <v>362</v>
      </c>
      <c r="B9" s="63" t="str">
        <f>Input_Data!B14</f>
        <v>Tree removal ($/tree)</v>
      </c>
      <c r="C9" s="385"/>
      <c r="D9" s="174" t="s">
        <v>103</v>
      </c>
      <c r="E9" s="94">
        <f>IF(D9=Data_Lists!$D$2,Input_Data!$C$4,IF(D9=Data_Lists!$D$3,Input_Data!$D$4,IF(D9=Data_Lists!$D$4,Input_Data!$E$4,(IF(D9=Data_Lists!$D$5,Input_Data!$F$4,(IF(D9=Data_Lists!$D$6,Input_Data!$G$4,IF(D9=Data_Lists!$D$7,Input_Data!$H$4,IF(D9=Data_Lists!$D$8,Input_Data!$I$4, IF(D9=Data_Lists!$D$9,Input_Data!$J$4))))))))))</f>
        <v>5</v>
      </c>
      <c r="F9" s="95">
        <f>IF(VLOOKUP(B9,IF($G$7=Data_Entry!$C$17,Data_Entry!$B$20:$J$45, IF($G$7=Data_Entry!$C$47,Data_Entry!$B$50:$J$75,IF($G$7=Data_Entry!$C$78,Data_Entry!$B$81:$J$103))),E9,FALSE)&gt;1, VLOOKUP(B9,IF($G$7=Data_Entry!$C$17,Data_Entry!$B$20:$J$45, IF($G$7=Data_Entry!$C$47,Data_Entry!$B$50:$J$75,IF($G$7=Data_Entry!$C$78,Data_Entry!$B$81:$J$103))),E9,FALSE),VLOOKUP(B9,IF($G$7=Input_Data!$C$3,Input_Data!$B$6:$J$31, IF($G$7=Input_Data!$C$34,Input_Data!$B$37:$J$62,IF($G$7=Input_Data!$C$64,Input_Data!$B$67:$J$92))),E9,FALSE))</f>
        <v>871</v>
      </c>
      <c r="G9" s="61"/>
      <c r="H9" s="153">
        <f>IF(G9&gt;0,G9,F9)</f>
        <v>871</v>
      </c>
    </row>
    <row r="10" spans="1:12" ht="28.5" x14ac:dyDescent="0.45">
      <c r="A10" s="359"/>
      <c r="B10" s="22" t="s">
        <v>154</v>
      </c>
      <c r="C10" s="29" t="s">
        <v>11</v>
      </c>
      <c r="D10" s="29" t="s">
        <v>39</v>
      </c>
      <c r="E10" s="29"/>
      <c r="F10" s="27" t="s">
        <v>46</v>
      </c>
      <c r="G10" s="344" t="s">
        <v>43</v>
      </c>
      <c r="H10" s="161" t="s">
        <v>47</v>
      </c>
    </row>
    <row r="11" spans="1:12" ht="28.5" x14ac:dyDescent="0.45">
      <c r="A11" s="357" t="s">
        <v>208</v>
      </c>
      <c r="B11" s="63" t="str">
        <f>Input_Data!B6</f>
        <v>Concrete cutting ($)</v>
      </c>
      <c r="C11" s="93" t="s">
        <v>137</v>
      </c>
      <c r="D11" s="174" t="s">
        <v>2</v>
      </c>
      <c r="E11" s="94">
        <f>IF(D11=Data_Lists!$D$2,Input_Data!$C$4,IF(D11=Data_Lists!$D$3,Input_Data!$D$4,IF(D11=Data_Lists!$D$4,Input_Data!$E$4,(IF(D11=Data_Lists!$D$5,Input_Data!$F$4,(IF(D11=Data_Lists!$D$6,Input_Data!$G$4,IF(D11=Data_Lists!$D$7,Input_Data!$H$4,IF(D11=Data_Lists!$D$8,Input_Data!$I$4, IF(D11=Data_Lists!$D$9,Input_Data!$J$4))))))))))</f>
        <v>2</v>
      </c>
      <c r="F11" s="95">
        <f>IF(VLOOKUP(B11,IF($G$7=Data_Entry!$C$17,Data_Entry!$B$20:$J$45, IF($G$7=Data_Entry!$C$47,Data_Entry!$B$50:$J$75,IF($G$7=Data_Entry!$C$78,Data_Entry!$B$81:$J$103))),E11,FALSE)&gt;1, VLOOKUP(B11,IF($G$7=Data_Entry!$C$17,Data_Entry!$B$20:$J$45, IF($G$7=Data_Entry!$C$47,Data_Entry!$B$50:$J$75,IF($G$7=Data_Entry!$C$78,Data_Entry!$B$81:$J$103))),E11,FALSE),VLOOKUP(B11,IF($G$7=Input_Data!$C$3,Input_Data!$B$6:$J$31, IF($G$7=Input_Data!$C$34,Input_Data!$B$37:$J$62,IF($G$7=Input_Data!$C$64,Input_Data!$B$67:$J$92))),E11,FALSE))</f>
        <v>663.80503983300002</v>
      </c>
      <c r="G11" s="61"/>
      <c r="H11" s="156">
        <f t="shared" ref="H11:H19" si="1">IF(G11&gt;0,G11,F11)</f>
        <v>663.80503983300002</v>
      </c>
    </row>
    <row r="12" spans="1:12" x14ac:dyDescent="0.45">
      <c r="A12" s="357" t="s">
        <v>209</v>
      </c>
      <c r="B12" s="63" t="s">
        <v>360</v>
      </c>
      <c r="C12" s="93"/>
      <c r="D12" s="96"/>
      <c r="E12" s="94"/>
      <c r="F12" s="95"/>
      <c r="G12" s="65">
        <v>0</v>
      </c>
      <c r="H12" s="196">
        <f t="shared" si="1"/>
        <v>0</v>
      </c>
    </row>
    <row r="13" spans="1:12" x14ac:dyDescent="0.45">
      <c r="A13" s="357">
        <v>5</v>
      </c>
      <c r="B13" s="63" t="str">
        <f>Input_Data!B7</f>
        <v>Supply ($)</v>
      </c>
      <c r="C13" s="93" t="s">
        <v>19</v>
      </c>
      <c r="D13" s="175" t="s">
        <v>8</v>
      </c>
      <c r="E13" s="94">
        <f>IF(D13=Data_Lists!$D$2,Input_Data!$C$4,IF(D13=Data_Lists!$D$3,Input_Data!$D$4,IF(D13=Data_Lists!$D$4,Input_Data!$E$4,(IF(D13=Data_Lists!$D$5,Input_Data!$F$4,(IF(D13=Data_Lists!$D$6,Input_Data!$G$4,IF(D13=Data_Lists!$D$7,Input_Data!$H$4,IF(D13=Data_Lists!$D$8,Input_Data!$I$4, IF(D13=Data_Lists!$D$9,Input_Data!$J$4))))))))))</f>
        <v>8</v>
      </c>
      <c r="F13" s="95">
        <f>IF(VLOOKUP(B13,IF($G$7=Data_Entry!$C$17,Data_Entry!$B$20:$J$45, IF($G$7=Data_Entry!$C$47,Data_Entry!$B$50:$J$75,IF($G$7=Data_Entry!$C$78,Data_Entry!$B$81:$J$103))),E13,FALSE)&gt;1, VLOOKUP(B13,IF($G$7=Data_Entry!$C$17,Data_Entry!$B$20:$J$45, IF($G$7=Data_Entry!$C$47,Data_Entry!$B$50:$J$75,IF($G$7=Data_Entry!$C$78,Data_Entry!$B$81:$J$103))),E13,FALSE),VLOOKUP(B13,IF($G$7=Input_Data!$C$3,Input_Data!$B$6:$J$31, IF($G$7=Input_Data!$C$34,Input_Data!$B$37:$J$62,IF($G$7=Input_Data!$C$64,Input_Data!$B$67:$J$92))),E13,FALSE))</f>
        <v>105.11544417659999</v>
      </c>
      <c r="G13" s="61"/>
      <c r="H13" s="155">
        <f t="shared" si="1"/>
        <v>105.11544417659999</v>
      </c>
    </row>
    <row r="14" spans="1:12" ht="15.75" x14ac:dyDescent="0.45">
      <c r="A14" s="357" t="s">
        <v>246</v>
      </c>
      <c r="B14" s="63" t="str">
        <f>Input_Data!B15</f>
        <v>Soil cost ($/m3)</v>
      </c>
      <c r="C14" s="93" t="s">
        <v>159</v>
      </c>
      <c r="D14" s="175" t="s">
        <v>103</v>
      </c>
      <c r="E14" s="94">
        <f>IF(D14=Data_Lists!$D$2,Input_Data!$C$4,IF(D14=Data_Lists!$D$3,Input_Data!$D$4,IF(D14=Data_Lists!$D$4,Input_Data!$E$4,(IF(D14=Data_Lists!$D$5,Input_Data!$F$4,(IF(D14=Data_Lists!$D$6,Input_Data!$G$4,IF(D14=Data_Lists!$D$7,Input_Data!$H$4,IF(D14=Data_Lists!$D$8,Input_Data!$I$4, IF(D14=Data_Lists!$D$9,Input_Data!$J$4))))))))))</f>
        <v>5</v>
      </c>
      <c r="F14" s="95">
        <f>IF(VLOOKUP(B14,IF($G$7=Data_Entry!$C$17,Data_Entry!$B$20:$J$45, IF($G$7=Data_Entry!$C$47,Data_Entry!$B$50:$J$75,IF($G$7=Data_Entry!$C$78,Data_Entry!$B$81:$J$103))),E14,FALSE)&gt;1, VLOOKUP(B14,IF($G$7=Data_Entry!$C$17,Data_Entry!$B$20:$J$45, IF($G$7=Data_Entry!$C$47,Data_Entry!$B$50:$J$75,IF($G$7=Data_Entry!$C$78,Data_Entry!$B$81:$J$103))),E14,FALSE),VLOOKUP(B14,IF($G$7=Input_Data!$C$3,Input_Data!$B$6:$J$31, IF($G$7=Input_Data!$C$34,Input_Data!$B$37:$J$62,IF($G$7=Input_Data!$C$64,Input_Data!$B$67:$J$92))),E14,FALSE))</f>
        <v>89.504999999999995</v>
      </c>
      <c r="G14" s="61"/>
      <c r="H14" s="155">
        <f t="shared" si="1"/>
        <v>89.504999999999995</v>
      </c>
    </row>
    <row r="15" spans="1:12" ht="30" x14ac:dyDescent="0.45">
      <c r="A15" s="358" t="s">
        <v>247</v>
      </c>
      <c r="B15" s="63" t="s">
        <v>155</v>
      </c>
      <c r="C15" s="93" t="s">
        <v>25</v>
      </c>
      <c r="D15" s="96"/>
      <c r="E15" s="94"/>
      <c r="F15" s="164">
        <v>0.2</v>
      </c>
      <c r="G15" s="61"/>
      <c r="H15" s="157">
        <f t="shared" si="1"/>
        <v>0.2</v>
      </c>
    </row>
    <row r="16" spans="1:12" ht="29.25" customHeight="1" x14ac:dyDescent="0.45">
      <c r="A16" s="360" t="s">
        <v>240</v>
      </c>
      <c r="B16" s="267" t="str">
        <f>Input_Data!B9</f>
        <v>Mulch cost ($/m3)</v>
      </c>
      <c r="C16" s="268" t="s">
        <v>363</v>
      </c>
      <c r="D16" s="175" t="s">
        <v>2</v>
      </c>
      <c r="E16" s="94">
        <f>IF(D16=Data_Lists!$D$2,Input_Data!$C$4,IF(D16=Data_Lists!$D$3,Input_Data!$D$4,IF(D16=Data_Lists!$D$4,Input_Data!$E$4,(IF(D16=Data_Lists!$D$5,Input_Data!$F$4,(IF(D16=Data_Lists!$D$6,Input_Data!$G$4,IF(D16=Data_Lists!$D$7,Input_Data!$H$4,IF(D16=Data_Lists!$D$8,Input_Data!$I$4, IF(D16=Data_Lists!$D$9,Input_Data!$J$4))))))))))</f>
        <v>2</v>
      </c>
      <c r="F16" s="95">
        <f>IF(VLOOKUP(B16,IF($G$7=Data_Entry!$C$17,Data_Entry!$B$20:$J$45, IF($G$7=Data_Entry!$C$47,Data_Entry!$B$50:$J$75,IF($G$7=Data_Entry!$C$78,Data_Entry!$B$81:$J$103))),E16,FALSE)&gt;1, VLOOKUP(B16,IF($G$7=Data_Entry!$C$17,Data_Entry!$B$20:$J$45, IF($G$7=Data_Entry!$C$47,Data_Entry!$B$50:$J$75,IF($G$7=Data_Entry!$C$78,Data_Entry!$B$81:$J$103))),E16,FALSE),VLOOKUP(B16,IF($G$7=Input_Data!$C$3,Input_Data!$B$6:$J$31, IF($G$7=Input_Data!$C$34,Input_Data!$B$37:$J$62,IF($G$7=Input_Data!$C$64,Input_Data!$B$67:$J$92))),E16,FALSE))</f>
        <v>54.946862696699995</v>
      </c>
      <c r="G16" s="61"/>
      <c r="H16" s="155">
        <f t="shared" si="1"/>
        <v>54.946862696699995</v>
      </c>
    </row>
    <row r="17" spans="1:10" ht="29.25" customHeight="1" x14ac:dyDescent="0.45">
      <c r="A17" s="360" t="s">
        <v>241</v>
      </c>
      <c r="B17" s="267" t="s">
        <v>242</v>
      </c>
      <c r="C17" s="268" t="s">
        <v>359</v>
      </c>
      <c r="D17" s="96"/>
      <c r="E17" s="93"/>
      <c r="F17" s="164">
        <v>0.1</v>
      </c>
      <c r="G17" s="65"/>
      <c r="H17" s="157">
        <f t="shared" si="1"/>
        <v>0.1</v>
      </c>
    </row>
    <row r="18" spans="1:10" x14ac:dyDescent="0.45">
      <c r="A18" s="361">
        <v>8</v>
      </c>
      <c r="B18" s="267" t="str">
        <f>Input_Data!B10</f>
        <v>Stakes and ties ($)</v>
      </c>
      <c r="C18" s="268" t="s">
        <v>20</v>
      </c>
      <c r="D18" s="175" t="s">
        <v>103</v>
      </c>
      <c r="E18" s="94">
        <f>IF(D18=Data_Lists!$D$2,Input_Data!$C$4,IF(D18=Data_Lists!$D$3,Input_Data!$D$4,IF(D18=Data_Lists!$D$4,Input_Data!$E$4,(IF(D18=Data_Lists!$D$5,Input_Data!$F$4,(IF(D18=Data_Lists!$D$6,Input_Data!$G$4,IF(D18=Data_Lists!$D$7,Input_Data!$H$4,IF(D18=Data_Lists!$D$8,Input_Data!$I$4, IF(D18=Data_Lists!$D$9,Input_Data!$J$4))))))))))</f>
        <v>5</v>
      </c>
      <c r="F18" s="95">
        <f>IF(VLOOKUP(B18,IF($G$7=Data_Entry!$C$17,Data_Entry!$B$20:$J$45, IF($G$7=Data_Entry!$C$47,Data_Entry!$B$50:$J$75,IF($G$7=Data_Entry!$C$78,Data_Entry!$B$81:$J$103))),E18,FALSE)&gt;1, VLOOKUP(B18,IF($G$7=Data_Entry!$C$17,Data_Entry!$B$20:$J$45, IF($G$7=Data_Entry!$C$47,Data_Entry!$B$50:$J$75,IF($G$7=Data_Entry!$C$78,Data_Entry!$B$81:$J$103))),E18,FALSE),VLOOKUP(B18,IF($G$7=Input_Data!$C$3,Input_Data!$B$6:$J$31, IF($G$7=Input_Data!$C$34,Input_Data!$B$37:$J$62,IF($G$7=Input_Data!$C$64,Input_Data!$B$67:$J$92))),E18,FALSE))</f>
        <v>70.199999999999989</v>
      </c>
      <c r="G18" s="61"/>
      <c r="H18" s="155">
        <f t="shared" si="1"/>
        <v>70.199999999999989</v>
      </c>
    </row>
    <row r="19" spans="1:10" ht="28.5" x14ac:dyDescent="0.45">
      <c r="A19" s="360" t="s">
        <v>23</v>
      </c>
      <c r="B19" s="267" t="str">
        <f>Input_Data!B8</f>
        <v>Tree installation ($)</v>
      </c>
      <c r="C19" s="268" t="s">
        <v>158</v>
      </c>
      <c r="D19" s="175" t="s">
        <v>0</v>
      </c>
      <c r="E19" s="94">
        <f>IF(D19=Data_Lists!$D$2,Input_Data!$C$4,IF(D19=Data_Lists!$D$3,Input_Data!$D$4,IF(D19=Data_Lists!$D$4,Input_Data!$E$4,(IF(D19=Data_Lists!$D$5,Input_Data!$F$4,(IF(D19=Data_Lists!$D$6,Input_Data!$G$4,IF(D19=Data_Lists!$D$7,Input_Data!$H$4,IF(D19=Data_Lists!$D$8,Input_Data!$I$4, IF(D19=Data_Lists!$D$9,Input_Data!$J$4))))))))))</f>
        <v>9</v>
      </c>
      <c r="F19" s="95">
        <f>IF(VLOOKUP(B19,IF($G$7=Data_Entry!$C$17,Data_Entry!$B$20:$J$45, IF($G$7=Data_Entry!$C$47,Data_Entry!$B$50:$J$75,IF($G$7=Data_Entry!$C$78,Data_Entry!$B$81:$J$103))),E19,FALSE)&gt;1, VLOOKUP(B19,IF($G$7=Data_Entry!$C$17,Data_Entry!$B$20:$J$45, IF($G$7=Data_Entry!$C$47,Data_Entry!$B$50:$J$75,IF($G$7=Data_Entry!$C$78,Data_Entry!$B$81:$J$103))),E19,FALSE),VLOOKUP(B19,IF($G$7=Input_Data!$C$3,Input_Data!$B$6:$J$31, IF($G$7=Input_Data!$C$34,Input_Data!$B$37:$J$62,IF($G$7=Input_Data!$C$64,Input_Data!$B$67:$J$92))),E19,FALSE))</f>
        <v>0</v>
      </c>
      <c r="G19" s="61"/>
      <c r="H19" s="155">
        <f t="shared" si="1"/>
        <v>0</v>
      </c>
    </row>
    <row r="20" spans="1:10" x14ac:dyDescent="0.45">
      <c r="A20" s="361"/>
      <c r="B20" s="269" t="s">
        <v>21</v>
      </c>
      <c r="C20" s="269" t="s">
        <v>421</v>
      </c>
      <c r="D20" s="98"/>
      <c r="E20" s="97"/>
      <c r="F20" s="95"/>
      <c r="G20" s="64"/>
      <c r="H20" s="158"/>
    </row>
    <row r="21" spans="1:10" x14ac:dyDescent="0.45">
      <c r="A21" s="361" t="s">
        <v>248</v>
      </c>
      <c r="B21" s="267" t="str">
        <f>Input_Data!B11</f>
        <v>Installation cost ($/hr) per tree</v>
      </c>
      <c r="C21" s="268"/>
      <c r="D21" s="175" t="s">
        <v>103</v>
      </c>
      <c r="E21" s="94">
        <f>IF(D21=Data_Lists!$D$2,Input_Data!$C$4,IF(D21=Data_Lists!$D$3,Input_Data!$D$4,IF(D21=Data_Lists!$D$4,Input_Data!$E$4,(IF(D21=Data_Lists!$D$5,Input_Data!$F$4,(IF(D21=Data_Lists!$D$6,Input_Data!$G$4,IF(D21=Data_Lists!$D$7,Input_Data!$H$4,IF(D21=Data_Lists!$D$8,Input_Data!$I$4, IF(D21=Data_Lists!$D$9,Input_Data!$J$4))))))))))</f>
        <v>5</v>
      </c>
      <c r="F21" s="95">
        <f>IF(H19&lt;=0,IF(VLOOKUP(B21,IF($G$7=Data_Entry!$C$17,Data_Entry!$B$20:$J$45, IF($G$7=Data_Entry!$C$47,Data_Entry!$B$50:$J$75,IF($G$7=Data_Entry!$C$78,Data_Entry!$B$81:$J$103))),E21,FALSE)&gt;1, VLOOKUP(B21,IF($G$7=Data_Entry!$C$17,Data_Entry!$B$20:$J$45, IF($G$7=Data_Entry!$C$47,Data_Entry!$B$50:$J$75,IF($G$7=Data_Entry!$C$78,Data_Entry!$B$81:$J$103))),E21,FALSE),VLOOKUP(B21,IF($G$7=Input_Data!$C$3,Input_Data!$B$6:$J$31, IF($G$7=Input_Data!$C$34,Input_Data!$B$37:$J$62,IF($G$7=Input_Data!$C$64,Input_Data!$B$67:$J$92))),E21,FALSE)),0)</f>
        <v>81.899999999999991</v>
      </c>
      <c r="G21" s="61">
        <v>50</v>
      </c>
      <c r="H21" s="152">
        <f>IF(H19&lt;1,IF(G21&gt;0,G21,IF(AND(G21&gt;0,H19&gt;0),H19,F21)),0)</f>
        <v>50</v>
      </c>
    </row>
    <row r="22" spans="1:10" x14ac:dyDescent="0.45">
      <c r="A22" s="361" t="s">
        <v>249</v>
      </c>
      <c r="B22" s="267" t="s">
        <v>22</v>
      </c>
      <c r="C22" s="268"/>
      <c r="D22" s="100"/>
      <c r="E22" s="99"/>
      <c r="F22" s="101"/>
      <c r="G22" s="65">
        <v>3</v>
      </c>
      <c r="H22" s="155">
        <f>IF(H21&gt;0,G22,F22)</f>
        <v>3</v>
      </c>
    </row>
    <row r="23" spans="1:10" x14ac:dyDescent="0.45">
      <c r="A23" s="361" t="s">
        <v>250</v>
      </c>
      <c r="B23" s="267" t="str">
        <f>Input_Data!B12</f>
        <v>Machine rate ($/hr)</v>
      </c>
      <c r="C23" s="268"/>
      <c r="D23" s="175" t="s">
        <v>103</v>
      </c>
      <c r="E23" s="94">
        <f>IF(D23=Data_Lists!$D$2,Input_Data!$C$4,IF(D23=Data_Lists!$D$3,Input_Data!$D$4,IF(D23=Data_Lists!$D$4,Input_Data!$E$4,(IF(D23=Data_Lists!$D$5,Input_Data!$F$4,(IF(D23=Data_Lists!$D$6,Input_Data!$G$4,IF(D23=Data_Lists!$D$7,Input_Data!$H$4,IF(D23=Data_Lists!$D$8,Input_Data!$I$4, IF(D23=Data_Lists!$D$9,Input_Data!$J$4))))))))))</f>
        <v>5</v>
      </c>
      <c r="F23" s="95">
        <f>IF(H19&lt;=0,IF(VLOOKUP(B23,IF($G$7=Data_Entry!$C$17,Data_Entry!$B$20:$J$45, IF($G$7=Data_Entry!$C$47,Data_Entry!$B$50:$J$75,IF($G$7=Data_Entry!$C$78,Data_Entry!$B$81:$J$103))),E23,FALSE)&gt;1, VLOOKUP(B23,IF($G$7=Data_Entry!$C$17,Data_Entry!$B$20:$J$45, IF($G$7=Data_Entry!$C$47,Data_Entry!$B$50:$J$75,IF($G$7=Data_Entry!$C$78,Data_Entry!$B$81:$J$103))),E23,FALSE),VLOOKUP(B23,IF($G$7=Input_Data!$C$3,Input_Data!$B$6:$J$31, IF($G$7=Input_Data!$C$34,Input_Data!$B$37:$J$62,IF($G$7=Input_Data!$C$64,Input_Data!$B$67:$J$92))),E23,FALSE)),0)</f>
        <v>157.94999999999999</v>
      </c>
      <c r="G23" s="61">
        <v>20</v>
      </c>
      <c r="H23" s="155">
        <f>IF(G23&gt;0,G23,F23)</f>
        <v>20</v>
      </c>
      <c r="I23" s="31"/>
      <c r="J23" s="84"/>
    </row>
    <row r="24" spans="1:10" ht="14.25" customHeight="1" x14ac:dyDescent="0.45">
      <c r="A24" s="360" t="s">
        <v>194</v>
      </c>
      <c r="B24" s="267" t="str">
        <f>Input_Data!B23</f>
        <v>Watering ($/tree per visit)</v>
      </c>
      <c r="C24" s="267" t="s">
        <v>205</v>
      </c>
      <c r="D24" s="175" t="s">
        <v>103</v>
      </c>
      <c r="E24" s="94">
        <f>IF(D24=Data_Lists!$D$2,Input_Data!$C$4,IF(D24=Data_Lists!$D$3,Input_Data!$D$4,IF(D24=Data_Lists!$D$4,Input_Data!$E$4,(IF(D24=Data_Lists!$D$5,Input_Data!$F$4,(IF(D24=Data_Lists!$D$6,Input_Data!$G$4,IF(D24=Data_Lists!$D$7,Input_Data!$H$4,IF(D24=Data_Lists!$D$8,Input_Data!$I$4, IF(D24=Data_Lists!$D$9,Input_Data!$J$4))))))))))</f>
        <v>5</v>
      </c>
      <c r="F24" s="95">
        <f>IF(VLOOKUP(B24,IF($G$7=Data_Entry!$C$17,Data_Entry!$B$20:$J$45, IF($G$7=Data_Entry!$C$47,Data_Entry!$B$50:$J$75,IF($G$7=Data_Entry!$C$78,Data_Entry!$B$81:$J$103))),E24,FALSE)&gt;1, VLOOKUP(B24,IF($G$7=Data_Entry!$C$17,Data_Entry!$B$20:$J$45, IF($G$7=Data_Entry!$C$47,Data_Entry!$B$50:$J$75,IF($G$7=Data_Entry!$C$78,Data_Entry!$B$81:$J$103))),E24,FALSE),VLOOKUP(B24,IF($G$7=Input_Data!$C$3,Input_Data!$B$6:$J$31, IF($G$7=Input_Data!$C$34,Input_Data!$B$37:$J$62,IF($G$7=Input_Data!$C$64,Input_Data!$B$67:$J$92))),E24,FALSE))</f>
        <v>4</v>
      </c>
      <c r="G24" s="61"/>
      <c r="H24" s="155">
        <f>IF(G24&gt;0,G24,F24)</f>
        <v>4</v>
      </c>
    </row>
    <row r="25" spans="1:10" x14ac:dyDescent="0.45">
      <c r="A25" s="360" t="s">
        <v>195</v>
      </c>
      <c r="B25" s="267" t="s">
        <v>172</v>
      </c>
      <c r="C25" s="267" t="s">
        <v>186</v>
      </c>
      <c r="D25" s="175" t="s">
        <v>178</v>
      </c>
      <c r="E25" s="94">
        <f>IF(Dashboard_2!D25=Data_Lists!O6,Data_Lists!P6,IF(Dashboard_2!D25=Data_Lists!O7,Data_Lists!P7,IF(Dashboard_2!D25=Data_Lists!O8,Data_Lists!P8,IF(Dashboard_2!D25=Data_Lists!O9,Data_Lists!P9,IF(Dashboard_2!D25=Data_Lists!O10,Data_Lists!P10,IF(Dashboard_2!D25=Data_Lists!O11,Data_Lists!P11,IF(Dashboard_2!D25=Data_Lists!O12,Data_Lists!P12,IF(Dashboard_2!D25=Data_Lists!O13,Data_Lists!P13,IF(Dashboard_2!D25=Data_Lists!O14,Data_Lists!P14)))))))))</f>
        <v>12</v>
      </c>
      <c r="F25" s="94">
        <f>E25</f>
        <v>12</v>
      </c>
      <c r="G25" s="65"/>
      <c r="H25" s="159">
        <f>IF(G25&gt;0.00001,G25,F25)</f>
        <v>12</v>
      </c>
    </row>
    <row r="26" spans="1:10" x14ac:dyDescent="0.45">
      <c r="A26" s="360" t="s">
        <v>196</v>
      </c>
      <c r="B26" s="267" t="s">
        <v>173</v>
      </c>
      <c r="C26" s="267" t="s">
        <v>187</v>
      </c>
      <c r="D26" s="175" t="s">
        <v>189</v>
      </c>
      <c r="E26" s="94">
        <f>IF(Dashboard_2!D26=Data_Lists!O6,Data_Lists!P6,IF(Dashboard_2!D26=Data_Lists!O7,Data_Lists!P7,IF(Dashboard_2!D26=Data_Lists!O8,Data_Lists!P8,IF(Dashboard_2!D26=Data_Lists!O9,Data_Lists!P9,IF(Dashboard_2!D26=Data_Lists!O10,Data_Lists!P10,IF(Dashboard_2!D26=Data_Lists!O11,Data_Lists!P11,IF(Dashboard_2!D26=Data_Lists!O12,Data_Lists!P12,IF(Dashboard_2!D26=Data_Lists!O13,Data_Lists!P13,IF(Dashboard_2!D26=Data_Lists!O14,Data_Lists!P14)))))))))</f>
        <v>4</v>
      </c>
      <c r="F26" s="94">
        <f>E26</f>
        <v>4</v>
      </c>
      <c r="G26" s="65"/>
      <c r="H26" s="159">
        <f>IF(G26&gt;0.00001,G26,F26)</f>
        <v>4</v>
      </c>
    </row>
    <row r="27" spans="1:10" x14ac:dyDescent="0.45">
      <c r="A27" s="360" t="s">
        <v>197</v>
      </c>
      <c r="B27" s="267" t="str">
        <f>IF(Input_Data!B24="",Data_Lists!$O$2,Input_Data!B24)</f>
        <v>Strata cells/vault installation ($/tree)</v>
      </c>
      <c r="C27" s="267" t="s">
        <v>364</v>
      </c>
      <c r="D27" s="175" t="s">
        <v>103</v>
      </c>
      <c r="E27" s="94">
        <f>IF(D27=Data_Lists!$D$2,Input_Data!$C$4,IF(D27=Data_Lists!$D$3,Input_Data!$D$4,IF(D27=Data_Lists!$D$4,Input_Data!$E$4,(IF(D27=Data_Lists!$D$5,Input_Data!$F$4,(IF(D27=Data_Lists!$D$6,Input_Data!$G$4,IF(D27=Data_Lists!$D$7,Input_Data!$H$4,IF(D27=Data_Lists!$D$8,Input_Data!$I$4, IF(D27=Data_Lists!$D$9,Input_Data!$J$4))))))))))</f>
        <v>5</v>
      </c>
      <c r="F27" s="95">
        <f>IF(VLOOKUP(B27,IF($G$7=Data_Entry!$C$17,Data_Entry!$B$20:$J$45, IF($G$7=Data_Entry!$C$47,Data_Entry!$B$50:$J$75,IF($G$7=Data_Entry!$C$78,Data_Entry!$B$81:$J$103))),E27,FALSE)&gt;1, VLOOKUP(B27,IF($G$7=Data_Entry!$C$17,Data_Entry!$B$20:$J$45, IF($G$7=Data_Entry!$C$47,Data_Entry!$B$50:$J$75,IF($G$7=Data_Entry!$C$78,Data_Entry!$B$81:$J$103))),E27,FALSE),VLOOKUP(B27,IF($G$7=Input_Data!$C$3,Input_Data!$B$6:$J$31, IF($G$7=Input_Data!$C$34,Input_Data!$B$37:$J$62,IF($G$7=Input_Data!$C$64,Input_Data!$B$67:$J$92))),E27,FALSE))</f>
        <v>0</v>
      </c>
      <c r="G27" s="61"/>
      <c r="H27" s="155">
        <f>IF(G27&gt;0,G27,F27)</f>
        <v>0</v>
      </c>
    </row>
    <row r="28" spans="1:10" x14ac:dyDescent="0.45">
      <c r="A28" s="360" t="s">
        <v>198</v>
      </c>
      <c r="B28" s="267" t="s">
        <v>192</v>
      </c>
      <c r="C28" s="267"/>
      <c r="D28" s="176"/>
      <c r="F28" s="95"/>
      <c r="G28" s="65">
        <v>0</v>
      </c>
      <c r="H28" s="159">
        <f>G28</f>
        <v>0</v>
      </c>
    </row>
    <row r="29" spans="1:10" x14ac:dyDescent="0.45">
      <c r="A29" s="360" t="s">
        <v>199</v>
      </c>
      <c r="B29" s="267" t="str">
        <f>IF(Input_Data!B25="",Data_Lists!$O$2,Input_Data!B25)</f>
        <v>Visual tree inspection ($/tree)</v>
      </c>
      <c r="C29" s="267" t="s">
        <v>206</v>
      </c>
      <c r="D29" s="175" t="s">
        <v>103</v>
      </c>
      <c r="E29" s="94">
        <f>IF(D29=Data_Lists!$D$2,Input_Data!$C$4,IF(D29=Data_Lists!$D$3,Input_Data!$D$4,IF(D29=Data_Lists!$D$4,Input_Data!$E$4,(IF(D29=Data_Lists!$D$5,Input_Data!$F$4,(IF(D29=Data_Lists!$D$6,Input_Data!$G$4,IF(D29=Data_Lists!$D$7,Input_Data!$H$4,IF(D29=Data_Lists!$D$8,Input_Data!$I$4, IF(D29=Data_Lists!$D$9,Input_Data!$J$4))))))))))</f>
        <v>5</v>
      </c>
      <c r="F29" s="95">
        <f>IF(VLOOKUP(B29,IF($G$7=Data_Entry!$C$17,Data_Entry!$B$20:$J$45, IF($G$7=Data_Entry!$C$47,Data_Entry!$B$50:$J$75,IF($G$7=Data_Entry!$C$78,Data_Entry!$B$81:$J$103))),E29,FALSE)&gt;1, VLOOKUP(B29,IF($G$7=Data_Entry!$C$17,Data_Entry!$B$20:$J$45, IF($G$7=Data_Entry!$C$47,Data_Entry!$B$50:$J$75,IF($G$7=Data_Entry!$C$78,Data_Entry!$B$81:$J$103))),E29,FALSE),VLOOKUP(B29,IF($G$7=Input_Data!$C$3,Input_Data!$B$6:$J$31, IF($G$7=Input_Data!$C$34,Input_Data!$B$37:$J$62,IF($G$7=Input_Data!$C$64,Input_Data!$B$67:$J$92))),E29,FALSE))</f>
        <v>3</v>
      </c>
      <c r="G29" s="61"/>
      <c r="H29" s="155">
        <f>IF(G29&gt;0,G29,F29)</f>
        <v>3</v>
      </c>
    </row>
    <row r="30" spans="1:10" x14ac:dyDescent="0.45">
      <c r="A30" s="360" t="s">
        <v>200</v>
      </c>
      <c r="B30" s="267" t="s">
        <v>193</v>
      </c>
      <c r="C30" s="267"/>
      <c r="D30" s="176"/>
      <c r="E30" s="94"/>
      <c r="F30" s="95"/>
      <c r="G30" s="65">
        <v>100</v>
      </c>
      <c r="H30" s="159">
        <f>G30</f>
        <v>100</v>
      </c>
    </row>
    <row r="31" spans="1:10" x14ac:dyDescent="0.45">
      <c r="A31" s="360" t="s">
        <v>201</v>
      </c>
      <c r="B31" s="267" t="s">
        <v>218</v>
      </c>
      <c r="C31" s="267"/>
      <c r="D31" s="175" t="s">
        <v>130</v>
      </c>
      <c r="E31" s="235">
        <f>IF(Dashboard_2!D31=Data_Lists!L2,Data_Lists!M2,IF(Dashboard_2!D31=Data_Lists!L3,Data_Lists!M3,IF(Dashboard_2!D31=Data_Lists!L4,Data_Lists!M4,IF(Dashboard_2!D31=Data_Lists!L5,Data_Lists!M5,IF(Dashboard_2!D31=Data_Lists!L6,Data_Lists!M6,IF(Dashboard_2!D31=Data_Lists!L7,Data_Lists!M7))))))</f>
        <v>1</v>
      </c>
      <c r="F31" s="236">
        <f>E31</f>
        <v>1</v>
      </c>
      <c r="G31" s="65"/>
      <c r="H31" s="157">
        <f>IF(G31&gt;0.00001,G31,F31)</f>
        <v>1</v>
      </c>
    </row>
    <row r="32" spans="1:10" x14ac:dyDescent="0.45">
      <c r="A32" s="360" t="s">
        <v>216</v>
      </c>
      <c r="B32" s="270" t="str">
        <f>IF(Input_Data!B26="",Data_Lists!$O$2,Input_Data!B26)</f>
        <v>User specified cost item 1 ($/tree in Year 1 only)</v>
      </c>
      <c r="C32" s="271" t="s">
        <v>168</v>
      </c>
      <c r="D32" s="175" t="s">
        <v>103</v>
      </c>
      <c r="E32" s="94">
        <f>IF(D32=Data_Lists!$D$2,Input_Data!$C$4,IF(D32=Data_Lists!$D$3,Input_Data!$D$4,IF(D32=Data_Lists!$D$4,Input_Data!$E$4,(IF(D32=Data_Lists!$D$5,Input_Data!$F$4,(IF(D32=Data_Lists!$D$6,Input_Data!$G$4,IF(D32=Data_Lists!$D$7,Input_Data!$H$4,IF(D32=Data_Lists!$D$8,Input_Data!$I$4, IF(D32=Data_Lists!$D$9,Input_Data!$J$4))))))))))</f>
        <v>5</v>
      </c>
      <c r="F32" s="95">
        <f>IF(VLOOKUP(B32,IF($G$7=Data_Entry!$C$17,Data_Entry!$B$20:$J$45, IF($G$7=Data_Entry!$C$47,Data_Entry!$B$50:$J$75,IF($G$7=Data_Entry!$C$78,Data_Entry!$B$81:$J$106))),E32,FALSE)&gt;1, VLOOKUP(B32,IF($G$7=Data_Entry!$C$17,Data_Entry!$B$20:$J$45, IF($G$7=Data_Entry!$C$47,Data_Entry!$B$50:$J$75,IF($G$7=Data_Entry!$C$78,Data_Entry!$B$81:$J$106))),E32,FALSE),VLOOKUP(B32,IF($G$7=Input_Data!$C$3,Input_Data!$B$6:$J$31, IF($G$7=Input_Data!$C$34,Input_Data!$B$37:$J$62,IF($G$7=Input_Data!$C$64,Input_Data!$B$67:$J$92))),E32,FALSE))</f>
        <v>0</v>
      </c>
      <c r="G32" s="61"/>
      <c r="H32" s="155">
        <f>IF(G32&gt;0,G32,F32)</f>
        <v>0</v>
      </c>
    </row>
    <row r="33" spans="1:8" x14ac:dyDescent="0.45">
      <c r="A33" s="360" t="s">
        <v>217</v>
      </c>
      <c r="B33" s="270" t="str">
        <f>IF(Input_Data!B27="",Data_Lists!$O$2,Input_Data!B27)</f>
        <v>User specified cost item 2 ($/tree per annum up to year 2)</v>
      </c>
      <c r="C33" s="271" t="s">
        <v>168</v>
      </c>
      <c r="D33" s="175" t="s">
        <v>103</v>
      </c>
      <c r="E33" s="94">
        <f>IF(D33=Data_Lists!$D$2,Input_Data!$C$4,IF(D33=Data_Lists!$D$3,Input_Data!$D$4,IF(D33=Data_Lists!$D$4,Input_Data!$E$4,(IF(D33=Data_Lists!$D$5,Input_Data!$F$4,(IF(D33=Data_Lists!$D$6,Input_Data!$G$4,IF(D33=Data_Lists!$D$7,Input_Data!$H$4,IF(D33=Data_Lists!$D$8,Input_Data!$I$4, IF(D33=Data_Lists!$D$9,Input_Data!$J$4))))))))))</f>
        <v>5</v>
      </c>
      <c r="F33" s="95">
        <f>IF(VLOOKUP(B33,IF($G$7=Data_Entry!$C$17,Data_Entry!$B$20:$J$45, IF($G$7=Data_Entry!$C$47,Data_Entry!$B$50:$J$75,IF($G$7=Data_Entry!$C$78,Data_Entry!$B$81:$J$106))),E33,FALSE)&gt;1, VLOOKUP(B33,IF($G$7=Data_Entry!$C$17,Data_Entry!$B$20:$J$45, IF($G$7=Data_Entry!$C$47,Data_Entry!$B$50:$J$75,IF($G$7=Data_Entry!$C$78,Data_Entry!$B$81:$J$106))),E33,FALSE),VLOOKUP(B33,IF($G$7=Input_Data!$C$3,Input_Data!$B$6:$J$31, IF($G$7=Input_Data!$C$34,Input_Data!$B$37:$J$62,IF($G$7=Input_Data!$C$64,Input_Data!$B$67:$J$92))),E33,FALSE))</f>
        <v>0</v>
      </c>
      <c r="G33" s="61"/>
      <c r="H33" s="155">
        <f>IF(G33&gt;0,G33,F33)</f>
        <v>0</v>
      </c>
    </row>
    <row r="34" spans="1:8" x14ac:dyDescent="0.45">
      <c r="A34" s="360" t="s">
        <v>29</v>
      </c>
      <c r="B34" s="270" t="str">
        <f>IF(Input_Data!B28="",Data_Lists!$O$2,Input_Data!B28)</f>
        <v>User specified cost item 3 ($/tree per annum)</v>
      </c>
      <c r="C34" s="271" t="s">
        <v>168</v>
      </c>
      <c r="D34" s="175" t="s">
        <v>103</v>
      </c>
      <c r="E34" s="94">
        <f>IF(D34=Data_Lists!$D$2,Input_Data!$C$4,IF(D34=Data_Lists!$D$3,Input_Data!$D$4,IF(D34=Data_Lists!$D$4,Input_Data!$E$4,(IF(D34=Data_Lists!$D$5,Input_Data!$F$4,(IF(D34=Data_Lists!$D$6,Input_Data!$G$4,IF(D34=Data_Lists!$D$7,Input_Data!$H$4,IF(D34=Data_Lists!$D$8,Input_Data!$I$4, IF(D34=Data_Lists!$D$9,Input_Data!$J$4))))))))))</f>
        <v>5</v>
      </c>
      <c r="F34" s="95">
        <f>IF(VLOOKUP(B34,IF($G$7=Data_Entry!$C$17,Data_Entry!$B$20:$J$45, IF($G$7=Data_Entry!$C$47,Data_Entry!$B$50:$J$75,IF($G$7=Data_Entry!$C$78,Data_Entry!$B$81:$J$106))),E34,FALSE)&gt;1, VLOOKUP(B34,IF($G$7=Data_Entry!$C$17,Data_Entry!$B$20:$J$45, IF($G$7=Data_Entry!$C$47,Data_Entry!$B$50:$J$75,IF($G$7=Data_Entry!$C$78,Data_Entry!$B$81:$J$106))),E34,FALSE),VLOOKUP(B34,IF($G$7=Input_Data!$C$3,Input_Data!$B$6:$J$31, IF($G$7=Input_Data!$C$34,Input_Data!$B$37:$J$62,IF($G$7=Input_Data!$C$64,Input_Data!$B$67:$J$92))),E34,FALSE))</f>
        <v>0</v>
      </c>
      <c r="G34" s="61"/>
      <c r="H34" s="155">
        <f>IF(G34&gt;0,G34,F34)</f>
        <v>0</v>
      </c>
    </row>
    <row r="35" spans="1:8" x14ac:dyDescent="0.45">
      <c r="A35" s="360" t="s">
        <v>123</v>
      </c>
      <c r="B35" s="270" t="str">
        <f>IF(Input_Data!B29="",Data_Lists!$O$2,Input_Data!B29)</f>
        <v>User specified cost item 4 ($/tree per annum)</v>
      </c>
      <c r="C35" s="271" t="s">
        <v>168</v>
      </c>
      <c r="D35" s="175" t="s">
        <v>7</v>
      </c>
      <c r="E35" s="94">
        <f>IF(D35=Data_Lists!$D$2,Input_Data!$C$4,IF(D35=Data_Lists!$D$3,Input_Data!$D$4,IF(D35=Data_Lists!$D$4,Input_Data!$E$4,(IF(D35=Data_Lists!$D$5,Input_Data!$F$4,(IF(D35=Data_Lists!$D$6,Input_Data!$G$4,IF(D35=Data_Lists!$D$7,Input_Data!$H$4,IF(D35=Data_Lists!$D$8,Input_Data!$I$4, IF(D35=Data_Lists!$D$9,Input_Data!$J$4))))))))))</f>
        <v>7</v>
      </c>
      <c r="F35" s="95">
        <f>IF(VLOOKUP(B35,IF($G$7=Data_Entry!$C$17,Data_Entry!$B$20:$J$45, IF($G$7=Data_Entry!$C$47,Data_Entry!$B$50:$J$75,IF($G$7=Data_Entry!$C$78,Data_Entry!$B$81:$J$106))),E35,FALSE)&gt;1, VLOOKUP(B35,IF($G$7=Data_Entry!$C$17,Data_Entry!$B$20:$J$45, IF($G$7=Data_Entry!$C$47,Data_Entry!$B$50:$J$75,IF($G$7=Data_Entry!$C$78,Data_Entry!$B$81:$J$106))),E35,FALSE),VLOOKUP(B35,IF($G$7=Input_Data!$C$3,Input_Data!$B$6:$J$31, IF($G$7=Input_Data!$C$34,Input_Data!$B$37:$J$62,IF($G$7=Input_Data!$C$64,Input_Data!$B$67:$J$92))),E35,FALSE))</f>
        <v>0</v>
      </c>
      <c r="G35" s="61"/>
      <c r="H35" s="155">
        <f>IF(G35&gt;0,G35,F35)</f>
        <v>0</v>
      </c>
    </row>
    <row r="36" spans="1:8" x14ac:dyDescent="0.45">
      <c r="A36" s="360" t="s">
        <v>30</v>
      </c>
      <c r="B36" s="270" t="str">
        <f>IF(Input_Data!B30="",Data_Lists!$O$2,Input_Data!B30)</f>
        <v>User specified cost item 5 ($/tree per annum)</v>
      </c>
      <c r="C36" s="271" t="s">
        <v>168</v>
      </c>
      <c r="D36" s="175" t="s">
        <v>103</v>
      </c>
      <c r="E36" s="94">
        <f>IF(D36=Data_Lists!$D$2,Input_Data!$C$4,IF(D36=Data_Lists!$D$3,Input_Data!$D$4,IF(D36=Data_Lists!$D$4,Input_Data!$E$4,(IF(D36=Data_Lists!$D$5,Input_Data!$F$4,(IF(D36=Data_Lists!$D$6,Input_Data!$G$4,IF(D36=Data_Lists!$D$7,Input_Data!$H$4,IF(D36=Data_Lists!$D$8,Input_Data!$I$4, IF(D36=Data_Lists!$D$9,Input_Data!$J$4))))))))))</f>
        <v>5</v>
      </c>
      <c r="F36" s="95">
        <f>IF(VLOOKUP(B36,IF($G$7=Data_Entry!$C$17,Data_Entry!$B$20:$J$45, IF($G$7=Data_Entry!$C$47,Data_Entry!$B$50:$J$75,IF($G$7=Data_Entry!$C$78,Data_Entry!$B$81:$J$106))),E36,FALSE)&gt;1, VLOOKUP(B36,IF($G$7=Data_Entry!$C$17,Data_Entry!$B$20:$J$45, IF($G$7=Data_Entry!$C$47,Data_Entry!$B$50:$J$75,IF($G$7=Data_Entry!$C$78,Data_Entry!$B$81:$J$106))),E36,FALSE),VLOOKUP(B36,IF($G$7=Input_Data!$C$3,Input_Data!$B$6:$J$31, IF($G$7=Input_Data!$C$34,Input_Data!$B$37:$J$62,IF($G$7=Input_Data!$C$64,Input_Data!$B$67:$J$92))),E36,FALSE))</f>
        <v>0</v>
      </c>
      <c r="G36" s="61"/>
      <c r="H36" s="155">
        <f>IF(G36&gt;0,G36,F36)</f>
        <v>0</v>
      </c>
    </row>
    <row r="37" spans="1:8" x14ac:dyDescent="0.45">
      <c r="A37" s="362"/>
      <c r="B37" s="168"/>
      <c r="C37" s="168"/>
      <c r="D37" s="177"/>
      <c r="E37" s="166"/>
      <c r="F37" s="95"/>
      <c r="G37" s="345"/>
      <c r="H37" s="167"/>
    </row>
    <row r="38" spans="1:8" s="105" customFormat="1" x14ac:dyDescent="0.45">
      <c r="A38" s="52"/>
      <c r="B38" s="52" t="s">
        <v>157</v>
      </c>
      <c r="C38" s="51"/>
      <c r="D38" s="29"/>
      <c r="E38" s="51"/>
      <c r="F38" s="51"/>
      <c r="G38" s="346"/>
      <c r="H38" s="51"/>
    </row>
    <row r="39" spans="1:8" ht="30" customHeight="1" x14ac:dyDescent="0.45">
      <c r="A39" s="363" t="s">
        <v>31</v>
      </c>
      <c r="B39" s="237" t="str">
        <f>Input_Data!B44</f>
        <v>Tree protection fencing ($)</v>
      </c>
      <c r="C39" s="242" t="s">
        <v>151</v>
      </c>
      <c r="D39" s="175" t="s">
        <v>103</v>
      </c>
      <c r="E39" s="94">
        <f>IF(D39=Data_Lists!$D$2,Input_Data!$C$4,IF(D39=Data_Lists!$D$3,Input_Data!$D$4,IF(D39=Data_Lists!$D$4,Input_Data!$E$4,(IF(D39=Data_Lists!$D$5,Input_Data!$F$4,(IF(D39=Data_Lists!$D$6,Input_Data!$G$4,IF(D39=Data_Lists!$D$7,Input_Data!$H$4,IF(D39=Data_Lists!$D$8,Input_Data!$I$4, IF(D39=Data_Lists!$D$9,Input_Data!$J$4))))))))))</f>
        <v>5</v>
      </c>
      <c r="F39" s="95">
        <f>IF(VLOOKUP(B39,IF($G$7=Data_Entry!$C$17,Data_Entry!$B$20:$J$45, IF($G$7=Data_Entry!$C$47,Data_Entry!$B$50:$J$75,IF($G$7=Data_Entry!$C$78,Data_Entry!$B$81:$J$103))),E39,FALSE)&gt;1, VLOOKUP(B39,IF($G$7=Data_Entry!$C$17,Data_Entry!$B$20:$J$45, IF($G$7=Data_Entry!$C$47,Data_Entry!$B$50:$J$75,IF($G$7=Data_Entry!$C$78,Data_Entry!$B$81:$J$103))),E39,FALSE),VLOOKUP(B39,IF($G$7=Input_Data!$C$3,Input_Data!$B$6:$J$31, IF($G$7=Input_Data!$C$34,Input_Data!$B$37:$J$62,IF($G$7=Input_Data!$C$64,Input_Data!$B$67:$J$92))),E39,FALSE))</f>
        <v>250</v>
      </c>
      <c r="G39" s="61"/>
      <c r="H39" s="155">
        <f>IF(G39&gt;0,G39,F39)</f>
        <v>250</v>
      </c>
    </row>
    <row r="40" spans="1:8" ht="28.5" x14ac:dyDescent="0.45">
      <c r="A40" s="363" t="s">
        <v>33</v>
      </c>
      <c r="B40" s="237" t="str">
        <f>Input_Data!B19</f>
        <v>Traffic control cost ($)</v>
      </c>
      <c r="C40" s="242" t="s">
        <v>26</v>
      </c>
      <c r="D40" s="175" t="s">
        <v>103</v>
      </c>
      <c r="E40" s="94">
        <f>IF(D40=Data_Lists!$D$2,Input_Data!$C$4,IF(D40=Data_Lists!$D$3,Input_Data!$D$4,IF(D40=Data_Lists!$D$4,Input_Data!$E$4,(IF(D40=Data_Lists!$D$5,Input_Data!$F$4,(IF(D40=Data_Lists!$D$6,Input_Data!$G$4,IF(D40=Data_Lists!$D$7,Input_Data!$H$4,IF(D40=Data_Lists!$D$8,Input_Data!$I$4, IF(D40=Data_Lists!$D$9,Input_Data!$J$4))))))))))</f>
        <v>5</v>
      </c>
      <c r="F40" s="95">
        <f>IF(VLOOKUP(B40,IF($G$7=Data_Entry!$C$17,Data_Entry!$B$20:$J$45, IF($G$7=Data_Entry!$C$47,Data_Entry!$B$50:$J$75,IF($G$7=Data_Entry!$C$78,Data_Entry!$B$81:$J$103))),E40,FALSE)&gt;1, VLOOKUP(B40,IF($G$7=Data_Entry!$C$17,Data_Entry!$B$20:$J$45, IF($G$7=Data_Entry!$C$47,Data_Entry!$B$50:$J$75,IF($G$7=Data_Entry!$C$78,Data_Entry!$B$81:$J$103))),E40,FALSE),VLOOKUP(B40,IF($G$7=Input_Data!$C$3,Input_Data!$B$6:$J$31, IF($G$7=Input_Data!$C$34,Input_Data!$B$37:$J$62,IF($G$7=Input_Data!$C$64,Input_Data!$B$67:$J$92))),E40,FALSE))</f>
        <v>0</v>
      </c>
      <c r="G40" s="61"/>
      <c r="H40" s="155">
        <f>IF(G40&gt;0,G40,F40)</f>
        <v>0</v>
      </c>
    </row>
    <row r="41" spans="1:8" ht="28.5" x14ac:dyDescent="0.45">
      <c r="A41" s="363" t="s">
        <v>219</v>
      </c>
      <c r="B41" s="237" t="str">
        <f>Input_Data!B20</f>
        <v>Guard rails ($)</v>
      </c>
      <c r="C41" s="242" t="s">
        <v>245</v>
      </c>
      <c r="D41" s="175" t="s">
        <v>103</v>
      </c>
      <c r="E41" s="94">
        <f>IF(D41=Data_Lists!$D$2,Input_Data!$C$4,IF(D41=Data_Lists!$D$3,Input_Data!$D$4,IF(D41=Data_Lists!$D$4,Input_Data!$E$4,(IF(D41=Data_Lists!$D$5,Input_Data!$F$4,(IF(D41=Data_Lists!$D$6,Input_Data!$G$4,IF(D41=Data_Lists!$D$7,Input_Data!$H$4,IF(D41=Data_Lists!$D$8,Input_Data!$I$4, IF(D41=Data_Lists!$D$9,Input_Data!$J$4))))))))))</f>
        <v>5</v>
      </c>
      <c r="F41" s="95">
        <f>IF(VLOOKUP(B41,IF($G$7=Data_Entry!$C$17,Data_Entry!$B$20:$J$45, IF($G$7=Data_Entry!$C$47,Data_Entry!$B$50:$J$75,IF($G$7=Data_Entry!$C$78,Data_Entry!$B$81:$J$103))),E41,FALSE)&gt;1, VLOOKUP(B41,IF($G$7=Data_Entry!$C$17,Data_Entry!$B$20:$J$45, IF($G$7=Data_Entry!$C$47,Data_Entry!$B$50:$J$75,IF($G$7=Data_Entry!$C$78,Data_Entry!$B$81:$J$103))),E41,FALSE),VLOOKUP(B41,IF($G$7=Input_Data!$C$3,Input_Data!$B$6:$J$31, IF($G$7=Input_Data!$C$34,Input_Data!$B$37:$J$62,IF($G$7=Input_Data!$C$64,Input_Data!$B$67:$J$92))),E41,FALSE))</f>
        <v>224</v>
      </c>
      <c r="G41" s="61"/>
      <c r="H41" s="155">
        <f>IF(G41&gt;0,G41,F41)</f>
        <v>224</v>
      </c>
    </row>
    <row r="42" spans="1:8" x14ac:dyDescent="0.45">
      <c r="A42" s="363" t="s">
        <v>220</v>
      </c>
      <c r="B42" s="237" t="s">
        <v>234</v>
      </c>
      <c r="C42" s="242"/>
      <c r="D42" s="96"/>
      <c r="E42" s="93"/>
      <c r="F42" s="101"/>
      <c r="G42" s="65"/>
      <c r="H42" s="159">
        <f>IF(G42&gt;0,G42,F42)</f>
        <v>0</v>
      </c>
    </row>
    <row r="43" spans="1:8" x14ac:dyDescent="0.45">
      <c r="A43" s="364"/>
      <c r="B43" s="27" t="s">
        <v>124</v>
      </c>
      <c r="C43" s="23"/>
      <c r="D43" s="106"/>
      <c r="E43" s="23"/>
      <c r="F43" s="74"/>
      <c r="G43" s="60"/>
      <c r="H43" s="35"/>
    </row>
    <row r="44" spans="1:8" x14ac:dyDescent="0.45">
      <c r="A44" s="339" t="s">
        <v>221</v>
      </c>
      <c r="B44" s="263" t="str">
        <f>Input_Data!B16</f>
        <v>Maintenance in year 1 ($/tree)</v>
      </c>
      <c r="C44" s="264" t="s">
        <v>27</v>
      </c>
      <c r="D44" s="178" t="s">
        <v>103</v>
      </c>
      <c r="E44" s="32">
        <f>IF(D44=Data_Lists!$D$2,Input_Data!$C$4,IF(D44=Data_Lists!$D$3,Input_Data!$D$4,IF(D44=Data_Lists!$D$4,Input_Data!$E$4,(IF(D44=Data_Lists!$D$5,Input_Data!$F$4,(IF(D44=Data_Lists!$D$6,Input_Data!$G$4,IF(D44=Data_Lists!$D$7,Input_Data!$H$4,IF(D44=Data_Lists!$D$8,Input_Data!$I$4, IF(D44=Data_Lists!$D$9,Input_Data!$J$4))))))))))</f>
        <v>5</v>
      </c>
      <c r="F44" s="33">
        <f>IF(VLOOKUP(B44,IF($G$7=Data_Entry!$C$17,Data_Entry!$B$20:$J$45, IF($G$7=Data_Entry!$C$47,Data_Entry!$B$50:$J$75,IF($G$7=Data_Entry!$C$78,Data_Entry!$B$81:$J$103))),E44,FALSE)&gt;1, VLOOKUP(B44,IF($G$7=Data_Entry!$C$17,Data_Entry!$B$20:$J$45, IF($G$7=Data_Entry!$C$47,Data_Entry!$B$50:$J$75,IF($G$7=Data_Entry!$C$78,Data_Entry!$B$81:$J$103))),E44,FALSE),VLOOKUP(B44,IF($G$7=Input_Data!$C$3,Input_Data!$B$6:$J$31, IF($G$7=Input_Data!$C$34,Input_Data!$B$37:$J$62,IF($G$7=Input_Data!$C$64,Input_Data!$B$67:$J$92))),E44,FALSE))</f>
        <v>132.99</v>
      </c>
      <c r="G44" s="59"/>
      <c r="H44" s="152">
        <f>IF(G44&gt;0,G44,F44)</f>
        <v>132.99</v>
      </c>
    </row>
    <row r="45" spans="1:8" x14ac:dyDescent="0.45">
      <c r="A45" s="339" t="s">
        <v>222</v>
      </c>
      <c r="B45" s="265" t="str">
        <f>Input_Data!B17</f>
        <v>Maintenance in year 2 ($/tree)</v>
      </c>
      <c r="C45" s="266" t="s">
        <v>28</v>
      </c>
      <c r="D45" s="178" t="s">
        <v>103</v>
      </c>
      <c r="E45" s="32">
        <f>IF(D45=Data_Lists!$D$2,Input_Data!$C$4,IF(D45=Data_Lists!$D$3,Input_Data!$D$4,IF(D45=Data_Lists!$D$4,Input_Data!$E$4,(IF(D45=Data_Lists!$D$5,Input_Data!$F$4,(IF(D45=Data_Lists!$D$6,Input_Data!$G$4,IF(D45=Data_Lists!$D$7,Input_Data!$H$4,IF(D45=Data_Lists!$D$8,Input_Data!$I$4, IF(D45=Data_Lists!$D$9,Input_Data!$J$4))))))))))</f>
        <v>5</v>
      </c>
      <c r="F45" s="33">
        <f>IF(VLOOKUP(B45,IF($G$7=Data_Entry!$C$17,Data_Entry!$B$20:$J$45, IF($G$7=Data_Entry!$C$47,Data_Entry!$B$50:$J$75,IF($G$7=Data_Entry!$C$78,Data_Entry!$B$81:$J$103))),E45,FALSE)&gt;1, VLOOKUP(B45,IF($G$7=Data_Entry!$C$17,Data_Entry!$B$20:$J$45, IF($G$7=Data_Entry!$C$47,Data_Entry!$B$50:$J$75,IF($G$7=Data_Entry!$C$78,Data_Entry!$B$81:$J$103))),E45,FALSE),VLOOKUP(B45,IF($G$7=Input_Data!$C$3,Input_Data!$B$6:$J$31, IF($G$7=Input_Data!$C$34,Input_Data!$B$37:$J$62,IF($G$7=Input_Data!$C$64,Input_Data!$B$67:$J$92))),E45,FALSE))</f>
        <v>35.099999999999994</v>
      </c>
      <c r="G45" s="59"/>
      <c r="H45" s="152">
        <f>IF(G45&gt;0,G45,F45)</f>
        <v>35.099999999999994</v>
      </c>
    </row>
    <row r="46" spans="1:8" x14ac:dyDescent="0.45">
      <c r="A46" s="339" t="s">
        <v>223</v>
      </c>
      <c r="B46" s="265" t="str">
        <f>Input_Data!B18</f>
        <v>Maintenance in year 3 and onwards (annual $/tree)</v>
      </c>
      <c r="C46" s="266"/>
      <c r="D46" s="178" t="s">
        <v>103</v>
      </c>
      <c r="E46" s="32">
        <f>IF(D46=Data_Lists!$D$2,Input_Data!$C$4,IF(D46=Data_Lists!$D$3,Input_Data!$D$4,IF(D46=Data_Lists!$D$4,Input_Data!$E$4,(IF(D46=Data_Lists!$D$5,Input_Data!$F$4,(IF(D46=Data_Lists!$D$6,Input_Data!$G$4,IF(D46=Data_Lists!$D$7,Input_Data!$H$4,IF(D46=Data_Lists!$D$8,Input_Data!$I$4, IF(D46=Data_Lists!$D$9,Input_Data!$J$4))))))))))</f>
        <v>5</v>
      </c>
      <c r="F46" s="33">
        <f>IF(VLOOKUP(B46,IF($G$7=Data_Entry!$C$17,Data_Entry!$B$20:$J$45, IF($G$7=Data_Entry!$C$47,Data_Entry!$B$50:$J$75,IF($G$7=Data_Entry!$C$78,Data_Entry!$B$81:$J$103))),E46,FALSE)&gt;1, VLOOKUP(B46,IF($G$7=Data_Entry!$C$17,Data_Entry!$B$20:$J$45, IF($G$7=Data_Entry!$C$47,Data_Entry!$B$50:$J$75,IF($G$7=Data_Entry!$C$78,Data_Entry!$B$81:$J$103))),E46,FALSE),VLOOKUP(B46,IF($G$7=Input_Data!$C$3,Input_Data!$B$6:$J$31, IF($G$7=Input_Data!$C$34,Input_Data!$B$37:$J$62,IF($G$7=Input_Data!$C$64,Input_Data!$B$67:$J$92))),E46,FALSE))</f>
        <v>26.324999999999996</v>
      </c>
      <c r="G46" s="59"/>
      <c r="H46" s="152">
        <f>IF(G46&gt;0,G46,F46)</f>
        <v>26.324999999999996</v>
      </c>
    </row>
    <row r="47" spans="1:8" ht="15.75" customHeight="1" x14ac:dyDescent="0.45">
      <c r="A47" s="360" t="s">
        <v>224</v>
      </c>
      <c r="B47" s="267" t="str">
        <f>Input_Data!B52</f>
        <v>Arborist tree health inspection ($/tree)</v>
      </c>
      <c r="C47" s="268" t="s">
        <v>126</v>
      </c>
      <c r="D47" s="175" t="s">
        <v>103</v>
      </c>
      <c r="E47" s="94">
        <f>IF(D47=Data_Lists!$D$2,Input_Data!$C$4,IF(D47=Data_Lists!$D$3,Input_Data!$D$4,IF(D47=Data_Lists!$D$4,Input_Data!$E$4,(IF(D47=Data_Lists!$D$5,Input_Data!$F$4,(IF(D47=Data_Lists!$D$6,Input_Data!$G$4,IF(D47=Data_Lists!$D$7,Input_Data!$H$4,IF(D47=Data_Lists!$D$8,Input_Data!$I$4, IF(D47=Data_Lists!$D$9,Input_Data!$J$4))))))))))</f>
        <v>5</v>
      </c>
      <c r="F47" s="95">
        <f>IF(VLOOKUP(B47,IF($G$7=Data_Entry!$C$17,Data_Entry!$B$20:$J$45, IF($G$7=Data_Entry!$C$47,Data_Entry!$B$50:$J$75,IF($G$7=Data_Entry!$C$78,Data_Entry!$B$81:$J$103))),E47,FALSE)&gt;1, VLOOKUP(B47,IF($G$7=Data_Entry!$C$17,Data_Entry!$B$20:$J$45, IF($G$7=Data_Entry!$C$47,Data_Entry!$B$50:$J$75,IF($G$7=Data_Entry!$C$78,Data_Entry!$B$81:$J$103))),E47,FALSE),VLOOKUP(B47,IF($G$7=Input_Data!$C$3,Input_Data!$B$6:$J$31, IF($G$7=Input_Data!$C$34,Input_Data!$B$37:$J$62,IF($G$7=Input_Data!$C$64,Input_Data!$B$67:$J$92))),E47,FALSE))</f>
        <v>250</v>
      </c>
      <c r="G47" s="61"/>
      <c r="H47" s="155">
        <f>IF(G47&gt;0,G47,F47)</f>
        <v>250</v>
      </c>
    </row>
    <row r="48" spans="1:8" ht="15.75" customHeight="1" x14ac:dyDescent="0.45">
      <c r="A48" s="339" t="s">
        <v>225</v>
      </c>
      <c r="B48" s="267" t="s">
        <v>235</v>
      </c>
      <c r="C48" s="268"/>
      <c r="D48" s="94"/>
      <c r="E48" s="94"/>
      <c r="F48" s="95"/>
      <c r="G48" s="65">
        <v>2</v>
      </c>
      <c r="H48" s="159">
        <f>IF(G48&gt;0.00001,G48,F48)</f>
        <v>2</v>
      </c>
    </row>
    <row r="49" spans="1:12" x14ac:dyDescent="0.45">
      <c r="A49" s="339" t="s">
        <v>265</v>
      </c>
      <c r="B49" s="265" t="s">
        <v>264</v>
      </c>
      <c r="C49" s="266" t="s">
        <v>128</v>
      </c>
      <c r="D49" s="178" t="s">
        <v>130</v>
      </c>
      <c r="E49" s="32"/>
      <c r="F49" s="236">
        <f>IF(D49=Data_Lists!L2,Data_Lists!M2,IF(D49=Data_Lists!L3,Data_Lists!M3,IF(D49=Data_Lists!L4,Data_Lists!M4,IF(D49=Data_Lists!L5,Data_Lists!M5,IF(D49=Data_Lists!L6,Data_Lists!M6,IF(D49=Data_Lists!L6,Data_Lists!M7,0))))))</f>
        <v>1</v>
      </c>
      <c r="G49" s="65"/>
      <c r="H49" s="157">
        <f>IF(G49&gt;0.00001,G49,F49)</f>
        <v>1</v>
      </c>
    </row>
    <row r="50" spans="1:12" s="116" customFormat="1" x14ac:dyDescent="0.45">
      <c r="A50" s="339" t="s">
        <v>226</v>
      </c>
      <c r="B50" s="266" t="str">
        <f>Input_Data!B53</f>
        <v>GIS mapping and inventory assessment ($)</v>
      </c>
      <c r="C50" s="266" t="s">
        <v>125</v>
      </c>
      <c r="D50" s="179" t="s">
        <v>103</v>
      </c>
      <c r="E50" s="115">
        <f>IF(D50=Data_Lists!$D$2,Input_Data!$C$4,IF(D50=Data_Lists!$D$3,Input_Data!$D$4,IF(D50=Data_Lists!$D$4,Input_Data!$E$4,(IF(D50=Data_Lists!$D$5,Input_Data!$F$4,(IF(D50=Data_Lists!$D$6,Input_Data!$G$4,IF(D50=Data_Lists!$D$7,Input_Data!$H$4,IF(D50=Data_Lists!$D$8,Input_Data!$I$4, IF(D50=Data_Lists!$D$9,Input_Data!$J$4))))))))))</f>
        <v>5</v>
      </c>
      <c r="F50" s="117">
        <f>IF(VLOOKUP(B50,IF($G$7=Data_Entry!$C$17,Data_Entry!$B$20:$J$45, IF($G$7=Data_Entry!$C$47,Data_Entry!$B$50:$J$75,IF($G$7=Data_Entry!$C$78,Data_Entry!$B$81:$J$103))),E50,FALSE)&gt;1, VLOOKUP(B50,IF($G$7=Data_Entry!$C$17,Data_Entry!$B$20:$J$45, IF($G$7=Data_Entry!$C$47,Data_Entry!$B$50:$J$75,IF($G$7=Data_Entry!$C$78,Data_Entry!$B$81:$J$103))),E50,FALSE),VLOOKUP(B50,IF($G$7=Input_Data!$C$3,Input_Data!$B$6:$J$31, IF($G$7=Input_Data!$C$34,Input_Data!$B$37:$J$62,IF($G$7=Input_Data!$C$64,Input_Data!$B$67:$J$92))),E50,FALSE))</f>
        <v>2.4</v>
      </c>
      <c r="G50" s="135"/>
      <c r="H50" s="154">
        <f>IF(G50&gt;0,G50,F50)</f>
        <v>2.4</v>
      </c>
    </row>
    <row r="51" spans="1:12" x14ac:dyDescent="0.45">
      <c r="A51" s="364"/>
      <c r="B51" s="383" t="s">
        <v>425</v>
      </c>
      <c r="C51" s="383"/>
      <c r="D51" s="383"/>
      <c r="E51" s="383"/>
      <c r="F51" s="18"/>
      <c r="G51" s="60"/>
      <c r="H51" s="35"/>
    </row>
    <row r="52" spans="1:12" ht="28.5" x14ac:dyDescent="0.45">
      <c r="A52" s="365" t="s">
        <v>227</v>
      </c>
      <c r="B52" s="103" t="s">
        <v>236</v>
      </c>
      <c r="C52" s="103" t="s">
        <v>232</v>
      </c>
      <c r="D52" s="103"/>
      <c r="E52" s="103"/>
      <c r="F52" s="193">
        <v>0.1</v>
      </c>
      <c r="G52" s="194"/>
      <c r="H52" s="195">
        <f>IF(G52&gt;0,G52,F52)</f>
        <v>0.1</v>
      </c>
    </row>
    <row r="53" spans="1:12" ht="28.5" x14ac:dyDescent="0.45">
      <c r="A53" s="358" t="s">
        <v>228</v>
      </c>
      <c r="B53" s="93" t="s">
        <v>271</v>
      </c>
      <c r="C53" s="93" t="s">
        <v>233</v>
      </c>
      <c r="D53" s="93"/>
      <c r="E53" s="93"/>
      <c r="F53" s="191">
        <v>7.0000000000000007E-2</v>
      </c>
      <c r="G53" s="118"/>
      <c r="H53" s="192">
        <f>IF(G53&gt;0,G53,F53)</f>
        <v>7.0000000000000007E-2</v>
      </c>
    </row>
    <row r="54" spans="1:12" ht="28.5" x14ac:dyDescent="0.45">
      <c r="A54" s="366" t="s">
        <v>229</v>
      </c>
      <c r="B54" s="114" t="s">
        <v>237</v>
      </c>
      <c r="C54" s="114" t="s">
        <v>152</v>
      </c>
      <c r="D54" s="114"/>
      <c r="E54" s="114"/>
      <c r="F54" s="165">
        <v>0.02</v>
      </c>
      <c r="G54" s="118"/>
      <c r="H54" s="192">
        <f>IF(G54&gt;0,G54,F54)</f>
        <v>0.02</v>
      </c>
      <c r="K54" t="s">
        <v>89</v>
      </c>
    </row>
    <row r="55" spans="1:12" x14ac:dyDescent="0.45">
      <c r="A55" s="366" t="s">
        <v>270</v>
      </c>
      <c r="B55" s="114" t="s">
        <v>238</v>
      </c>
      <c r="C55" s="114" t="s">
        <v>239</v>
      </c>
      <c r="D55" s="114"/>
      <c r="E55" s="114"/>
      <c r="F55" s="165">
        <v>0.03</v>
      </c>
      <c r="G55" s="118"/>
      <c r="H55" s="192">
        <f>IF(G55&gt;0,G55,F55)</f>
        <v>0.03</v>
      </c>
    </row>
    <row r="56" spans="1:12" x14ac:dyDescent="0.45">
      <c r="A56" s="364"/>
      <c r="B56" s="27" t="s">
        <v>32</v>
      </c>
      <c r="C56" s="23"/>
      <c r="D56" s="23"/>
      <c r="E56" s="23"/>
      <c r="F56" s="60"/>
      <c r="G56" s="18"/>
      <c r="H56" s="35"/>
    </row>
    <row r="57" spans="1:12" ht="28.5" x14ac:dyDescent="0.45">
      <c r="A57" s="365" t="s">
        <v>230</v>
      </c>
      <c r="B57" s="102" t="s">
        <v>34</v>
      </c>
      <c r="C57" s="103" t="s">
        <v>35</v>
      </c>
      <c r="D57" s="103"/>
      <c r="E57" s="103"/>
      <c r="F57" s="202">
        <v>7.0000000000000007E-2</v>
      </c>
      <c r="G57" s="194"/>
      <c r="H57" s="203">
        <f>IF(G57&gt;0,G57,F57)</f>
        <v>7.0000000000000007E-2</v>
      </c>
    </row>
    <row r="58" spans="1:12" x14ac:dyDescent="0.45">
      <c r="A58" s="358" t="s">
        <v>231</v>
      </c>
      <c r="B58" s="63" t="s">
        <v>36</v>
      </c>
      <c r="C58" s="93" t="s">
        <v>37</v>
      </c>
      <c r="D58" s="93"/>
      <c r="E58" s="93"/>
      <c r="F58" s="200">
        <v>2.5000000000000001E-2</v>
      </c>
      <c r="G58" s="118"/>
      <c r="H58" s="201">
        <f>IF(G58&gt;0,G58,F58)</f>
        <v>2.5000000000000001E-2</v>
      </c>
    </row>
    <row r="59" spans="1:12" ht="14.65" thickBot="1" x14ac:dyDescent="0.5">
      <c r="A59" s="367" t="s">
        <v>274</v>
      </c>
      <c r="B59" s="204" t="s">
        <v>275</v>
      </c>
      <c r="C59" s="205" t="s">
        <v>276</v>
      </c>
      <c r="D59" s="205"/>
      <c r="E59" s="205"/>
      <c r="F59" s="207">
        <v>30</v>
      </c>
      <c r="G59" s="206"/>
      <c r="H59" s="351">
        <f>F59</f>
        <v>30</v>
      </c>
    </row>
    <row r="60" spans="1:12" s="47" customFormat="1" ht="14.65" thickTop="1" x14ac:dyDescent="0.45">
      <c r="A60" s="110"/>
      <c r="B60" s="110"/>
      <c r="C60" s="110"/>
      <c r="D60" s="110"/>
      <c r="E60" s="110"/>
      <c r="F60" s="110"/>
      <c r="G60" s="110"/>
      <c r="H60" s="110"/>
      <c r="I60" s="83"/>
      <c r="J60" s="83"/>
      <c r="K60" s="83"/>
      <c r="L60" s="83"/>
    </row>
    <row r="61" spans="1:12" s="47" customFormat="1" hidden="1" x14ac:dyDescent="0.45">
      <c r="A61"/>
      <c r="B61"/>
      <c r="C61"/>
      <c r="D61" s="17"/>
      <c r="E61"/>
      <c r="F61"/>
      <c r="G61"/>
      <c r="H61"/>
    </row>
  </sheetData>
  <sheetProtection algorithmName="SHA-512" hashValue="ukpmCtQA2CTzoGxmXRJMbYkWAgHkdQDMvhNXmm76Do1sLOgZiEJHcO4SCd658k5HVJ1DOP11wRvdvJILDYdL3g==" saltValue="RhXcXrktQ7vulQt6GlgliA==" spinCount="100000" sheet="1" formatCells="0" formatColumns="0" formatRows="0" selectLockedCells="1"/>
  <mergeCells count="3">
    <mergeCell ref="B2:H2"/>
    <mergeCell ref="C8:C9"/>
    <mergeCell ref="B51:E51"/>
  </mergeCells>
  <dataValidations count="12">
    <dataValidation allowBlank="1" showInputMessage="1" showErrorMessage="1" promptTitle="Arborist inspection" prompt="Average number of trees inspected by an arborist per year" sqref="G48" xr:uid="{842B6F3B-AADF-4F75-BE29-9DF5A1D8000A}"/>
    <dataValidation type="whole" allowBlank="1" showInputMessage="1" showErrorMessage="1" errorTitle="Check your number" error="Enter a whole number greater than 0 but less or equal to number of trees in your project" promptTitle="Concrete cutting" prompt="Number of trees requiring concrete cutting" sqref="G12" xr:uid="{375396E7-2543-4094-92E1-8A477B2B1105}">
      <formula1>0</formula1>
      <formula2>G6</formula2>
    </dataValidation>
    <dataValidation type="whole" allowBlank="1" showInputMessage="1" showErrorMessage="1" errorTitle="Check your number" error="Enter a whole number greater than 0 but less or equal to number of trees in your project" promptTitle="Trees in StrataVault/Strata cell" prompt="If applicable enter the number of trees to be planted in a StrataVault or strate cells. Must be less or equal to the total number of trees in your project." sqref="G28" xr:uid="{20ED80D5-FF98-47A2-A6CE-176732342836}">
      <formula1>0</formula1>
      <formula2>G6</formula2>
    </dataValidation>
    <dataValidation allowBlank="1" showInputMessage="1" showErrorMessage="1" promptTitle="Tree mortality and maintenance" prompt="Q16 &amp; 18 are designed to allow you to model the benefits of good maintenance." sqref="B51:E51" xr:uid="{505D7AB0-B476-4C29-9E72-B6502EE7305A}"/>
    <dataValidation allowBlank="1" showInputMessage="1" showErrorMessage="1" promptTitle="Financial rates" prompt="Enter the financial paramaters you typically use for investment decisions." sqref="B56" xr:uid="{B307005D-C86B-46F2-BD20-BBE9A597FCD6}"/>
    <dataValidation allowBlank="1" showInputMessage="1" showErrorMessage="1" promptTitle="Own price estimate" prompt="If you have better estimates than those in the drop-down menus, enter your values under this column_x000a_" sqref="G10" xr:uid="{3A1D9A8C-8B00-4BAE-8B7A-4E0BE6402D61}"/>
    <dataValidation allowBlank="1" showInputMessage="1" showErrorMessage="1" prompt="Start by entering the number of trees in your project and selecting your average pot size ( 45L, 75L or 250L)." sqref="B5" xr:uid="{8990589C-954D-4729-8BD0-66611627E352}"/>
    <dataValidation allowBlank="1" showInputMessage="1" showErrorMessage="1" prompt="If you intend to have a maintenence program, enter information here." sqref="B43 B21:B22" xr:uid="{AD0E3C01-0FCE-4409-BAC0-C36F5DD63C00}"/>
    <dataValidation type="whole" operator="greaterThanOrEqual" allowBlank="1" showInputMessage="1" showErrorMessage="1" promptTitle="Number of guard rails" prompt="Enter the number of guard rails required." sqref="G42" xr:uid="{86DF723F-9B17-4904-A78B-8096D4ED8F43}">
      <formula1>0</formula1>
    </dataValidation>
    <dataValidation type="whole" operator="greaterThanOrEqual" allowBlank="1" showInputMessage="1" showErrorMessage="1" error="Enter a number greater or equal to 0" promptTitle="Trees to be removed" prompt="Where applicable, enter the number of trees that will be removed from the project site" sqref="G8" xr:uid="{13C5DF5A-8FED-4E7C-9AF8-D800711A89E5}">
      <formula1>0</formula1>
    </dataValidation>
    <dataValidation allowBlank="1" showInputMessage="1" showErrorMessage="1" promptTitle="No. of trees installed per hr" prompt="Enter the number trees that will be installed per hour" sqref="G22" xr:uid="{B15B3A5B-E32C-42D6-9683-40476C1CA0EC}"/>
    <dataValidation type="whole" operator="greaterThan" allowBlank="1" showInputMessage="1" showErrorMessage="1" errorTitle="Number of trees" error="Enter a numerial value greater than 0" promptTitle="Number of trees in the project" prompt="Enter a numerial value greater than 0" sqref="G6" xr:uid="{02A56114-1941-4B18-85C1-3C1BFF41E245}">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0">
        <x14:dataValidation type="list" allowBlank="1" showInputMessage="1" showErrorMessage="1" errorTitle="STOP" error="Select frequency from the drop down menu" promptTitle="Year 2+ watering frequency" prompt="Select the desired frequency or enter the estimate average number of watering visits for the whole year in Column G. If the cost is not relevant select N/A" xr:uid="{E7C69EE3-7EFC-44C8-8B2C-5EE65A7B006E}">
          <x14:formula1>
            <xm:f>Data_Lists!$O$6:$O$13</xm:f>
          </x14:formula1>
          <xm:sqref>D26</xm:sqref>
        </x14:dataValidation>
        <x14:dataValidation type="list" allowBlank="1" showInputMessage="1" showErrorMessage="1" promptTitle="Tree health inspection frequency" prompt="Select inspection frequency from the drop-down menu, if this cost is not applicable then select &quot;N/A&quot;" xr:uid="{0A93DBEB-1D66-44DA-9DDE-82C0404C4BCA}">
          <x14:formula1>
            <xm:f>Data_Lists!$L$2:$L$7</xm:f>
          </x14:formula1>
          <xm:sqref>D49</xm:sqref>
        </x14:dataValidation>
        <x14:dataValidation type="list" allowBlank="1" showInputMessage="1" showErrorMessage="1" promptTitle="GIS and Inventory" prompt="Select the cost level most appropriate to your project. Cost range from percentile p0 to p100, with p0 representing the lowest cost and p100 represent the highest cost. If the cost is not relevant select N/A" xr:uid="{D551B6F1-6FD4-4CE2-81AF-E923A7C75302}">
          <x14:formula1>
            <xm:f>Data_Lists!$D$2:$D$9</xm:f>
          </x14:formula1>
          <xm:sqref>D50</xm:sqref>
        </x14:dataValidation>
        <x14:dataValidation type="list" allowBlank="1" showInputMessage="1" showErrorMessage="1" promptTitle="Traffic control cost" prompt="Select the cost level most appropriate to your project. Cost range from percentile p0 to p100, with p0 representing the lowest cost and p100 represent the highest cost. If the cost is not relevant select N/A" xr:uid="{3EBF47E0-7A24-4147-8047-7B87819DE047}">
          <x14:formula1>
            <xm:f>Data_Lists!$D$2:$D$9</xm:f>
          </x14:formula1>
          <xm:sqref>D40</xm:sqref>
        </x14:dataValidation>
        <x14:dataValidation type="list" allowBlank="1" showInputMessage="1" showErrorMessage="1" promptTitle="Tree removal" prompt="Select the cost level most appropriate to your project. Cost range from percentile p0 for small trees to p100 for extra large trees. The &quot;average&quot; cost is for a medium sized tree. If the cost is not relevant select N/A" xr:uid="{7AE5B2FA-2074-41A2-9FED-68B74D8091A0}">
          <x14:formula1>
            <xm:f>Data_Lists!$D$2:$D$9</xm:f>
          </x14:formula1>
          <xm:sqref>D9</xm:sqref>
        </x14:dataValidation>
        <x14:dataValidation type="list" allowBlank="1" showInputMessage="1" showErrorMessage="1" promptTitle="Soil" prompt="Select the cost level most appropriate to your project. Cost range from percentile p0 to p100, with p0 representing the lowest cost and p100 represent the highest cost. Select N/A if you have unbundled cost and the use Q8 to include the installation costs" xr:uid="{F697D937-8DEA-4949-8300-A44BFB10B4A5}">
          <x14:formula1>
            <xm:f>Data_Lists!$D$2:$D$9</xm:f>
          </x14:formula1>
          <xm:sqref>D14</xm:sqref>
        </x14:dataValidation>
        <x14:dataValidation type="list" allowBlank="1" showInputMessage="1" showErrorMessage="1" promptTitle="Rapid visual assessment" prompt="Select the cost level most appropriate to your project. Cost range from percentile p0 to p100, with p0 representing the lowest cost and p100 represent the highest cost. If the cost is not relevant select N/A" xr:uid="{A0616D2B-4B65-4821-B9DE-B90DCF2F23FA}">
          <x14:formula1>
            <xm:f>Data_Lists!$D$2:$D$9</xm:f>
          </x14:formula1>
          <xm:sqref>D29</xm:sqref>
        </x14:dataValidation>
        <x14:dataValidation type="list" allowBlank="1" showInputMessage="1" showErrorMessage="1" promptTitle="Fencing (supply &amp; install)" prompt="Select the cost level most appropriate to your project. Cost range from percentile p0 to p100, with p0 representing the lowest cost and p100 represent the highest cost. If the cost is not relevant select N/A" xr:uid="{5B31B865-A87F-4A5C-883B-86159FDCA0C9}">
          <x14:formula1>
            <xm:f>Data_Lists!$D$2:$D$9</xm:f>
          </x14:formula1>
          <xm:sqref>D39</xm:sqref>
        </x14:dataValidation>
        <x14:dataValidation type="list" allowBlank="1" showInputMessage="1" showErrorMessage="1" promptTitle="Year 2 maintenance" prompt="Select the cost level most appropriate to your project. Cost range from percentile p0 to p100, with p0 representing the lowest cost and p100 represent the highest cost. If the cost is not relevant select N/A" xr:uid="{3BE52F8A-F135-4DF7-AD3A-8257A573439E}">
          <x14:formula1>
            <xm:f>Data_Lists!$D$2:$D$9</xm:f>
          </x14:formula1>
          <xm:sqref>D45</xm:sqref>
        </x14:dataValidation>
        <x14:dataValidation type="list" allowBlank="1" showInputMessage="1" showErrorMessage="1" promptTitle="Year 3 onwards maintenance" prompt="Select the cost level most appropriate to your project. Cost range from percentile p0 to p100, with p0 representing the lowest cost and p100 represent the highest cost. If the cost is not relevant select N/A" xr:uid="{8D68A3C9-BD71-4C4C-B80C-2991534D294D}">
          <x14:formula1>
            <xm:f>Data_Lists!$D$2:$D$9</xm:f>
          </x14:formula1>
          <xm:sqref>D46</xm:sqref>
        </x14:dataValidation>
        <x14:dataValidation type="list" allowBlank="1" showInputMessage="1" showErrorMessage="1" errorTitle="Post-establishment mortality rat" error="Select value from the drop-down menu" promptTitle="Post-establishment mortality" prompt="This is the estimated percent (%) of trees that will die after the first 5 years_x000a_" xr:uid="{85E0AF79-9384-48C4-992D-BA34598BF8FC}">
          <x14:formula1>
            <xm:f>Data_Lists!$H$2:$H$82</xm:f>
          </x14:formula1>
          <xm:sqref>F54</xm:sqref>
        </x14:dataValidation>
        <x14:dataValidation type="list" allowBlank="1" showInputMessage="1" showErrorMessage="1" promptTitle="Mortalit rate - good maintenance" prompt="Select your estimated mortality rate under a good maintenance regime (should be less than value above - in 24a)_x000a_" xr:uid="{5449215C-8506-4D16-A87D-9E5FCD8F29DB}">
          <x14:formula1>
            <xm:f>Data_Lists!$H$2:$H$82</xm:f>
          </x14:formula1>
          <xm:sqref>F53</xm:sqref>
        </x14:dataValidation>
        <x14:dataValidation type="list" allowBlank="1" showInputMessage="1" showErrorMessage="1" errorTitle="Post-establishment mortality rat" error="Select value from the drop-down menu" promptTitle="Accident and mortality rate" prompt="This is the mortality rate due to accidents and vandalism" xr:uid="{D0D4A359-18B0-4F0E-81B3-2F11B822E50D}">
          <x14:formula1>
            <xm:f>Data_Lists!$H$2:$H$82</xm:f>
          </x14:formula1>
          <xm:sqref>F55</xm:sqref>
        </x14:dataValidation>
        <x14:dataValidation type="list" allowBlank="1" showInputMessage="1" showErrorMessage="1" promptTitle="Mortality rate-poor maintenance" prompt="Select your estimated baseline mortality rate" xr:uid="{70435418-1375-4CE1-B9D6-D15AE59840AC}">
          <x14:formula1>
            <xm:f>Data_Lists!$H$2:$H$82</xm:f>
          </x14:formula1>
          <xm:sqref>F52</xm:sqref>
        </x14:dataValidation>
        <x14:dataValidation type="list" allowBlank="1" showInputMessage="1" showErrorMessage="1" errorTitle="Appraisal period" error="Recommended appraisal period is 30 years" promptTitle="Appraisal period" prompt="Recommended appraisal period is 30 years. But you can select a different appraisal." xr:uid="{50B4AC66-E98B-4967-B687-96D0A4603A13}">
          <x14:formula1>
            <xm:f>Data_Lists!$B$11:$B$16</xm:f>
          </x14:formula1>
          <xm:sqref>F59</xm:sqref>
        </x14:dataValidation>
        <x14:dataValidation type="list" allowBlank="1" showInputMessage="1" showErrorMessage="1" promptTitle="Guard rails" prompt="Select the cost level most appropriate to your project. Cost range from percentile p0 to p100, with p0 representing the lowest cost and p100 represent the highest cost. If the cost is not relevant select N/A" xr:uid="{20E77E45-67DF-428E-BE93-E67E66B917CB}">
          <x14:formula1>
            <xm:f>Data_Lists!$D$2:$D$9</xm:f>
          </x14:formula1>
          <xm:sqref>D41</xm:sqref>
        </x14:dataValidation>
        <x14:dataValidation type="list" allowBlank="1" showInputMessage="1" showErrorMessage="1" errorTitle="Required amount of soil per tree" error="Select a value between 0 and 1m3. This is the amount of mulch required for an individual tree." promptTitle="Amount of mulch" prompt="Select the amount of mulch in cubic metres required per tree" xr:uid="{674BE238-609E-42F3-B878-F231CF0C8140}">
          <x14:formula1>
            <xm:f>Data_Lists!$F$2:$F$12</xm:f>
          </x14:formula1>
          <xm:sqref>F17</xm:sqref>
        </x14:dataValidation>
        <x14:dataValidation type="list" allowBlank="1" showInputMessage="1" showErrorMessage="1" promptTitle="Strata cells/vault" prompt="Select the cost level most appropriate to your project. Cost range from percentile p0 to p100, with p0 representing the lowest cost and p100 represent the highest cost. If the cost is not relevant select N/A" xr:uid="{37872236-2247-42FE-AA70-9AFFF021E4F9}">
          <x14:formula1>
            <xm:f>Data_Lists!$D$2:$D$9</xm:f>
          </x14:formula1>
          <xm:sqref>D27</xm:sqref>
        </x14:dataValidation>
        <x14:dataValidation type="list" allowBlank="1" showInputMessage="1" showErrorMessage="1" errorTitle="STOP" error="Select frequency from the drop down menu" promptTitle="Rapid inspection frequency" prompt="This is the estimated average frequency for rapid visual tree inspections. Alternatively, enter the average annual inspection frequency in Column G" xr:uid="{C3C3B6F3-C546-4901-B8E5-E38921D20E28}">
          <x14:formula1>
            <xm:f>Data_Lists!$L$2:$L$7</xm:f>
          </x14:formula1>
          <xm:sqref>D31</xm:sqref>
        </x14:dataValidation>
        <x14:dataValidation type="list" allowBlank="1" showInputMessage="1" showErrorMessage="1" errorTitle="STOP" error="Select frequency from the drop down menu" promptTitle="Year 1 watering frequency" prompt="Select the desired frequency or enter the estimate average number of watering visits for the whole year in Column G. If the cost is not relevant select N/A" xr:uid="{29A78DB7-7E04-4CB4-BA90-D13AECDE7DA6}">
          <x14:formula1>
            <xm:f>Data_Lists!$O$6:$O$14</xm:f>
          </x14:formula1>
          <xm:sqref>D25</xm:sqref>
        </x14:dataValidation>
        <x14:dataValidation type="list" allowBlank="1" showInputMessage="1" showErrorMessage="1" prompt="Select the cost level most appropriate to your project. Cost range from percentile p0 to p100, with p0 representing the lowest cost and p100 represent the highest cost. If the cost is not relevant select N/A" xr:uid="{4AEA4A5F-4980-43AB-B848-B3899D293A64}">
          <x14:formula1>
            <xm:f>Data_Lists!$D$2:$D$9</xm:f>
          </x14:formula1>
          <xm:sqref>D32:D36</xm:sqref>
        </x14:dataValidation>
        <x14:dataValidation type="list" allowBlank="1" showInputMessage="1" showErrorMessage="1" promptTitle="Watering $/tree/visit" prompt="Select the cost level most appropriate to your project. Cost range from percentile p0 to p100, with p0 representing the lowest cost and p100 represent the highest cost. If the cost is not relevant select N/A" xr:uid="{38203AD0-8F5B-4D58-AC4E-16897D5D3226}">
          <x14:formula1>
            <xm:f>Data_Lists!$D$2:$D$9</xm:f>
          </x14:formula1>
          <xm:sqref>D24</xm:sqref>
        </x14:dataValidation>
        <x14:dataValidation type="list" allowBlank="1" showInputMessage="1" showErrorMessage="1" promptTitle="Tree installation" prompt="Select the cost level most appropriate to your project. Cost range from percentile p0 to p100, with p0 representing the lowest cost and p100 represent the highest cost. If the cost is not relevant select N/A" xr:uid="{B0A776A0-C5CD-48C6-8A45-D65C5861C4AD}">
          <x14:formula1>
            <xm:f>Data_Lists!$D$2:$D$9</xm:f>
          </x14:formula1>
          <xm:sqref>D19</xm:sqref>
        </x14:dataValidation>
        <x14:dataValidation type="list" allowBlank="1" showInputMessage="1" showErrorMessage="1" promptTitle="Stakes and ties" prompt="Select the cost level most appropriate to your project. Cost range from percentile p0 to p100, with p0 representing the lowest cost and p100 represent the highest cost. If the cost is not relevant select N/A" xr:uid="{E5B5A877-1388-47EA-B5F4-26A89616F090}">
          <x14:formula1>
            <xm:f>Data_Lists!$D$2:$D$9</xm:f>
          </x14:formula1>
          <xm:sqref>D18</xm:sqref>
        </x14:dataValidation>
        <x14:dataValidation type="list" allowBlank="1" showInputMessage="1" showErrorMessage="1" promptTitle="Installation" prompt="Select the cost level most appropriate to your project. Cost range from percentile p0 to p100, with p0 representing the lowest cost and p100 represent the highest cost. Select N/A if you have unbundled cost and the use Q8 to include the installation costs" xr:uid="{40F64C5B-D964-4D5D-8515-33FD55666DA2}">
          <x14:formula1>
            <xm:f>Data_Lists!$D$2:$D$9</xm:f>
          </x14:formula1>
          <xm:sqref>D19</xm:sqref>
        </x14:dataValidation>
        <x14:dataValidation type="list" allowBlank="1" showInputMessage="1" showErrorMessage="1" errorTitle="Tree health inspection " error="Select value from the drop-down menu, if this cost is not applicable then select &quot;N/A&quot;" promptTitle="Tree health inspection" prompt="Select value from the drop-down menu, if this cost is not applicable then select &quot;N/A&quot;" xr:uid="{1AADD369-891C-4675-9652-97C76AA0BC57}">
          <x14:formula1>
            <xm:f>Data_Lists!$D$2:$D$9</xm:f>
          </x14:formula1>
          <xm:sqref>D47</xm:sqref>
        </x14:dataValidation>
        <x14:dataValidation type="list" allowBlank="1" showInputMessage="1" showErrorMessage="1" errorTitle="Required amount of soil per tree" error="Select a value between 0 and 1m3. This is the amount of soil requited for an individual tree." promptTitle="Amount of soil" prompt="Select the amount of soil in cubic metres required per tree" xr:uid="{F7ADDFAE-F82B-405C-A6A8-E6EAB38E0FF9}">
          <x14:formula1>
            <xm:f>Data_Lists!$F$2:$F$12</xm:f>
          </x14:formula1>
          <xm:sqref>F15</xm:sqref>
        </x14:dataValidation>
        <x14:dataValidation type="list" allowBlank="1" showInputMessage="1" showErrorMessage="1" errorTitle="Iflation rate" error="Recommended base inflation rate is 2.5% as per the the RBA target of 2-3% target. Use the other rates for sensitivity analysis purposes." promptTitle="Inflation rate" prompt="Recommended base inflation rate is 2.5% as per the the RBA target of 2-3% target. Use the other rates for sensitivity analysis purposes." xr:uid="{1CFCA46A-0721-4BE6-B030-C1114BB9125D}">
          <x14:formula1>
            <xm:f>Data_Lists!$J$2:$J$16</xm:f>
          </x14:formula1>
          <xm:sqref>F58</xm:sqref>
        </x14:dataValidation>
        <x14:dataValidation type="list" allowBlank="1" showInputMessage="1" showErrorMessage="1" promptTitle="First year maintenance" prompt="Select the cost level most appropriate to your project. Cost range from percentile p0 to p100, with p0 representing the lowest cost and p100 represent the highest cost. If the cost is not relevant select N/A" xr:uid="{7D2C675E-25E9-4F2A-88D5-C09A5B06A1B3}">
          <x14:formula1>
            <xm:f>Data_Lists!$D$2:$D$9</xm:f>
          </x14:formula1>
          <xm:sqref>D44</xm:sqref>
        </x14:dataValidation>
        <x14:dataValidation type="list" allowBlank="1" showInputMessage="1" showErrorMessage="1" promptTitle="Cost of a cubic metre of soil" prompt="Select the cost level most appropriate to your project. Cost range from percentile p0 to p100, with p0 representing the lowest cost and p100 represent the highest cost. If the cost is not relevant select N/A" xr:uid="{069A331D-0878-4F59-84A3-3C425FA573D1}">
          <x14:formula1>
            <xm:f>Data_Lists!$D$2:$D$9</xm:f>
          </x14:formula1>
          <xm:sqref>D14</xm:sqref>
        </x14:dataValidation>
        <x14:dataValidation type="list" allowBlank="1" showInputMessage="1" showErrorMessage="1" promptTitle="Cost of removing any trees" prompt="Select the cost level most appropriate to your project. Cost range from percentile p0 to p100, with p0 representing the lowest cost and p100 represent the highest cost. If the cost is not relevant select N/A" xr:uid="{26275322-803E-49CE-A497-55DF284B7FA9}">
          <x14:formula1>
            <xm:f>Data_Lists!$D$2:$D$9</xm:f>
          </x14:formula1>
          <xm:sqref>D9</xm:sqref>
        </x14:dataValidation>
        <x14:dataValidation type="list" allowBlank="1" showInputMessage="1" showErrorMessage="1" promptTitle="Tree protection fence" prompt="Select the cost level most appropriate to your project. Cost range from percentile p0 to p100, with p0 representing the lowest cost and p100 represent the highest cost. If the cost is not relevant select N/A" xr:uid="{DE80BF09-3609-4DBC-9FD9-C8B990593139}">
          <x14:formula1>
            <xm:f>Data_Lists!$D$2:$D$9</xm:f>
          </x14:formula1>
          <xm:sqref>D39</xm:sqref>
        </x14:dataValidation>
        <x14:dataValidation type="list" allowBlank="1" showInputMessage="1" showErrorMessage="1" promptTitle="Machine hire cost per hour" prompt="Select the cost level most appropriate to your project. Cost range from percentile p0 to p100, with p0 representing the lowest cost and p100 represent the highest cost. If the cost is not relevant select N/A" xr:uid="{F48D4FAD-CE57-4B36-A9BA-3C200F465517}">
          <x14:formula1>
            <xm:f>Data_Lists!$D$2:$D$9</xm:f>
          </x14:formula1>
          <xm:sqref>D23</xm:sqref>
        </x14:dataValidation>
        <x14:dataValidation type="list" allowBlank="1" showInputMessage="1" showErrorMessage="1" promptTitle="Hourly rate for installation" prompt="Select the cost level most appropriate to your project. Cost range from percentile p0 to p100, with p0 representing the lowest cost and p100 represent the highest cost. If the cost is not relevant select N/A" xr:uid="{97CCEC3C-AFA7-4D69-9468-DEBB6787E30D}">
          <x14:formula1>
            <xm:f>Data_Lists!$D$2:$D$9</xm:f>
          </x14:formula1>
          <xm:sqref>D21:D22</xm:sqref>
        </x14:dataValidation>
        <x14:dataValidation type="list" allowBlank="1" showInputMessage="1" showErrorMessage="1" promptTitle="Stakes and ties cost" prompt="Select the cost level most appropriate to your project. Cost range from percentile p0 to p100, with p0 representing the lowest cost and p100 represent the highest cost. If the cost is not relevant select N/A" xr:uid="{E0D12F55-3A14-4AD1-9A90-D301AAE1C865}">
          <x14:formula1>
            <xm:f>Data_Lists!$D$2:$D$9</xm:f>
          </x14:formula1>
          <xm:sqref>D18</xm:sqref>
        </x14:dataValidation>
        <x14:dataValidation type="list" allowBlank="1" showInputMessage="1" showErrorMessage="1" promptTitle="Mulching cost" prompt="Select the cost level most appropriate to your project. Cost range from percentile p0 to p100, with p0 representing the lowest cost and p100 represent the highest cost. If the cost is not relevant select N/A" xr:uid="{EA8F6965-E881-48FF-BFD4-729234CEA014}">
          <x14:formula1>
            <xm:f>Data_Lists!$D$2:$D$9</xm:f>
          </x14:formula1>
          <xm:sqref>D16:D17</xm:sqref>
        </x14:dataValidation>
        <x14:dataValidation type="list" allowBlank="1" showInputMessage="1" showErrorMessage="1" errorTitle="Tree supply cost" promptTitle="Tree supply cost" prompt="Select the cost level most appropriate to your project. Cost range from percentile p0 to p100, with p0 representing the lowest cost and p100 represent the highest cost. If the cost is not relevant select N/A" xr:uid="{973BB6B4-F95A-42E1-9C0D-136FBED1B9DB}">
          <x14:formula1>
            <xm:f>Data_Lists!$D$2:$D$9</xm:f>
          </x14:formula1>
          <xm:sqref>D13</xm:sqref>
        </x14:dataValidation>
        <x14:dataValidation type="list" allowBlank="1" showInputMessage="1" showErrorMessage="1" errorTitle="Concrete cutting" error="Select a percentile from the drop down menu" promptTitle="Concrete cutting" prompt="Select the cost level most appropriate to your project. Cost range from percentile p0 to p100, with p0 representing the lowest cost and p100 represent the highest cost. If the cost is not relevant select N/A" xr:uid="{C17B10B0-2D0B-4090-A034-22D66E07F75F}">
          <x14:formula1>
            <xm:f>Data_Lists!$D$2:$D$9</xm:f>
          </x14:formula1>
          <xm:sqref>D11</xm:sqref>
        </x14:dataValidation>
        <x14:dataValidation type="list" allowBlank="1" showInputMessage="1" showErrorMessage="1" errorTitle="Discount rate" error="Recommended base discount rate is 7% as per the Office of Best Practice Regulation." promptTitle="Discount rate" prompt="Recommended base discount rate is 7% as per the Office of Best Practice Regulation. Use the other rates for sensitivity analysis purposes" xr:uid="{1ECCA845-6EF6-41F7-928E-16DCBFF3CADB}">
          <x14:formula1>
            <xm:f>Data_Lists!$I$2:$I$9</xm:f>
          </x14:formula1>
          <xm:sqref>F57</xm:sqref>
        </x14:dataValidation>
        <x14:dataValidation type="list" allowBlank="1" showInputMessage="1" showErrorMessage="1" errorTitle="Plant pot size" error="Select plant pot size in litres from the drop down menu" promptTitle="Plant size" prompt="Select plant pot size in litres from the drop down menu" xr:uid="{7DFE2E00-9369-4454-A763-E360AC2F4972}">
          <x14:formula1>
            <xm:f>Data_Lists!$B$2:$B$4</xm:f>
          </x14:formula1>
          <xm:sqref>G7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957A-B39D-46E4-9CD2-CFF119AB402E}">
  <sheetPr>
    <tabColor rgb="FF38AC98"/>
  </sheetPr>
  <dimension ref="A1:L44"/>
  <sheetViews>
    <sheetView showGridLines="0" zoomScaleNormal="100" workbookViewId="0">
      <pane xSplit="2" ySplit="4" topLeftCell="C5" activePane="bottomRight" state="frozen"/>
      <selection activeCell="B1" sqref="B1"/>
      <selection pane="topRight" activeCell="C1" sqref="C1"/>
      <selection pane="bottomLeft" activeCell="B5" sqref="B5"/>
      <selection pane="bottomRight" activeCell="D10" sqref="D10"/>
    </sheetView>
  </sheetViews>
  <sheetFormatPr defaultColWidth="0" defaultRowHeight="14.25" zeroHeight="1" x14ac:dyDescent="0.45"/>
  <cols>
    <col min="1" max="1" width="8.265625" customWidth="1"/>
    <col min="2" max="2" width="52.73046875" customWidth="1"/>
    <col min="3" max="3" width="55.265625" customWidth="1"/>
    <col min="4" max="4" width="24.265625" style="17" customWidth="1"/>
    <col min="5" max="5" width="31.265625" hidden="1" customWidth="1"/>
    <col min="6" max="6" width="13.73046875" style="136" customWidth="1"/>
    <col min="7" max="7" width="14.86328125" customWidth="1"/>
    <col min="8" max="8" width="14.3984375" customWidth="1"/>
    <col min="9" max="16384" width="9.1328125" hidden="1"/>
  </cols>
  <sheetData>
    <row r="1" spans="1:12" s="47" customFormat="1" x14ac:dyDescent="0.45">
      <c r="A1" s="110"/>
      <c r="B1" s="111"/>
      <c r="C1" s="112"/>
      <c r="D1" s="112"/>
      <c r="E1" s="112"/>
      <c r="F1" s="310"/>
      <c r="G1" s="111"/>
      <c r="H1" s="111"/>
      <c r="I1" s="82"/>
      <c r="J1" s="82"/>
      <c r="K1" s="82"/>
      <c r="L1" s="82"/>
    </row>
    <row r="2" spans="1:12" hidden="1" x14ac:dyDescent="0.45">
      <c r="A2" s="14"/>
      <c r="B2" s="382"/>
      <c r="C2" s="382"/>
      <c r="D2" s="382"/>
      <c r="E2" s="382"/>
      <c r="F2" s="382"/>
      <c r="G2" s="382"/>
      <c r="H2" s="382"/>
    </row>
    <row r="3" spans="1:12" ht="18" hidden="1" x14ac:dyDescent="0.45">
      <c r="A3" s="14"/>
      <c r="B3" s="15"/>
      <c r="C3" s="16"/>
      <c r="D3" s="16"/>
      <c r="E3" s="16"/>
      <c r="F3" s="311"/>
      <c r="G3" s="17"/>
      <c r="H3" s="17"/>
    </row>
    <row r="4" spans="1:12" ht="28.5" x14ac:dyDescent="0.45">
      <c r="A4" s="21"/>
      <c r="B4" s="28" t="s">
        <v>10</v>
      </c>
      <c r="C4" s="29" t="s">
        <v>11</v>
      </c>
      <c r="D4" s="29"/>
      <c r="E4" s="29"/>
      <c r="F4" s="312" t="s">
        <v>12</v>
      </c>
      <c r="G4" s="29" t="s">
        <v>38</v>
      </c>
      <c r="H4" s="29" t="s">
        <v>13</v>
      </c>
    </row>
    <row r="5" spans="1:12" x14ac:dyDescent="0.45">
      <c r="A5" s="36" t="s">
        <v>14</v>
      </c>
      <c r="B5" s="19" t="s">
        <v>15</v>
      </c>
      <c r="C5" s="20"/>
      <c r="D5" s="20"/>
      <c r="E5" s="20"/>
      <c r="F5" s="313"/>
      <c r="G5" s="20"/>
      <c r="H5" s="20"/>
    </row>
    <row r="6" spans="1:12" x14ac:dyDescent="0.45">
      <c r="A6" s="332">
        <v>1</v>
      </c>
      <c r="B6" s="102" t="s">
        <v>299</v>
      </c>
      <c r="C6" s="103" t="s">
        <v>300</v>
      </c>
      <c r="D6" s="239"/>
      <c r="E6" s="239"/>
      <c r="F6" s="240"/>
      <c r="G6" s="371">
        <v>5</v>
      </c>
      <c r="H6" s="372">
        <f>G6</f>
        <v>5</v>
      </c>
      <c r="J6" s="24"/>
    </row>
    <row r="7" spans="1:12" x14ac:dyDescent="0.45">
      <c r="A7" s="333" t="s">
        <v>427</v>
      </c>
      <c r="B7" s="63" t="s">
        <v>429</v>
      </c>
      <c r="C7" s="93" t="s">
        <v>313</v>
      </c>
      <c r="D7" s="242"/>
      <c r="E7" s="242"/>
      <c r="F7" s="243"/>
      <c r="G7" s="244" t="s">
        <v>303</v>
      </c>
      <c r="H7" s="245"/>
      <c r="J7" s="24"/>
    </row>
    <row r="8" spans="1:12" ht="14.85" customHeight="1" x14ac:dyDescent="0.45">
      <c r="A8" s="333" t="s">
        <v>428</v>
      </c>
      <c r="B8" s="63" t="s">
        <v>314</v>
      </c>
      <c r="C8" s="93" t="s">
        <v>18</v>
      </c>
      <c r="D8" s="242"/>
      <c r="E8" s="242"/>
      <c r="F8" s="246"/>
      <c r="G8" s="373">
        <v>1000</v>
      </c>
      <c r="H8" s="374">
        <f>IF(G7="Tubestock",G8,0)</f>
        <v>1000</v>
      </c>
      <c r="I8" s="119"/>
      <c r="K8" s="31"/>
    </row>
    <row r="9" spans="1:12" ht="14.25" customHeight="1" x14ac:dyDescent="0.45">
      <c r="A9" s="334" t="s">
        <v>160</v>
      </c>
      <c r="B9" s="63" t="s">
        <v>24</v>
      </c>
      <c r="C9" s="384" t="s">
        <v>127</v>
      </c>
      <c r="D9" s="64"/>
      <c r="E9" s="63"/>
      <c r="F9" s="247"/>
      <c r="G9" s="241"/>
      <c r="H9" s="253">
        <f>IF(G9&gt;0,G9,F9)</f>
        <v>0</v>
      </c>
    </row>
    <row r="10" spans="1:12" x14ac:dyDescent="0.45">
      <c r="A10" s="333" t="s">
        <v>161</v>
      </c>
      <c r="B10" s="63" t="str">
        <f>Input_Data!B14</f>
        <v>Tree removal ($/tree)</v>
      </c>
      <c r="C10" s="385"/>
      <c r="D10" s="174" t="s">
        <v>103</v>
      </c>
      <c r="E10" s="94">
        <f>IF(D10=Data_Lists!$D$2,Input_Data!$C$4,IF(D10=Data_Lists!$D$3,Input_Data!$D$4,IF(D10=Data_Lists!$D$4,Input_Data!$E$4,(IF(D10=Data_Lists!$D$5,Input_Data!$F$4,(IF(D10=Data_Lists!$D$6,Input_Data!$G$4,IF(D10=Data_Lists!$D$7,Input_Data!$H$4,IF(D10=Data_Lists!$D$8,Input_Data!$I$4, IF(D10=Data_Lists!$D$9,Input_Data!$J$4))))))))))</f>
        <v>5</v>
      </c>
      <c r="F10" s="247">
        <f>IF(D10=Area_based_costs!B10,Area_based_costs!B21,IF(D10=Area_based_costs!C10,Area_based_costs!C21,IF(D10=Area_based_costs!D10,Area_based_costs!D21,IF(D10=Area_based_costs!E10,Area_based_costs!E21,IF(D10=Area_based_costs!F10,Area_based_costs!F21,IF(D10=Area_based_costs!G10,Area_based_costs!G21,IF(D10=Area_based_costs!H10,Area_based_costs!H21,IF(D10=Area_based_costs!I10,Area_based_costs!I21))))))))</f>
        <v>871</v>
      </c>
      <c r="G10" s="248"/>
      <c r="H10" s="254">
        <f>IF(G10&gt;0,G10,F10)</f>
        <v>871</v>
      </c>
    </row>
    <row r="11" spans="1:12" ht="28.5" x14ac:dyDescent="0.45">
      <c r="A11" s="335"/>
      <c r="B11" s="22" t="s">
        <v>154</v>
      </c>
      <c r="C11" s="29" t="s">
        <v>11</v>
      </c>
      <c r="D11" s="29" t="s">
        <v>39</v>
      </c>
      <c r="E11" s="29"/>
      <c r="F11" s="314" t="s">
        <v>46</v>
      </c>
      <c r="G11" s="344" t="s">
        <v>43</v>
      </c>
      <c r="H11" s="161" t="s">
        <v>47</v>
      </c>
    </row>
    <row r="12" spans="1:12" x14ac:dyDescent="0.45">
      <c r="A12" s="333">
        <v>4</v>
      </c>
      <c r="B12" s="260" t="s">
        <v>352</v>
      </c>
      <c r="C12" s="261" t="s">
        <v>358</v>
      </c>
      <c r="D12" s="175" t="s">
        <v>2</v>
      </c>
      <c r="E12" s="259"/>
      <c r="F12" s="247">
        <f>IF(D12=Area_based_costs!B10,Area_based_costs!B11,IF(D12=Area_based_costs!C10,Area_based_costs!C11,IF(D12=Area_based_costs!D10,Area_based_costs!D11,IF(D12=Area_based_costs!E10,Area_based_costs!E11,IF(D12=Area_based_costs!F10,Area_based_costs!F11,IF(D12=Area_based_costs!G10,Area_based_costs!G11,IF(D12=Area_based_costs!H10,Area_based_costs!H11,IF(D12=Area_based_costs!I10,Area_based_costs!I11))))))))</f>
        <v>662</v>
      </c>
      <c r="G12" s="61"/>
      <c r="H12" s="249">
        <f>IF(G7="Direct seeding",IF(G12&gt;0,G12,F12),0)</f>
        <v>0</v>
      </c>
    </row>
    <row r="13" spans="1:12" x14ac:dyDescent="0.45">
      <c r="A13" s="333">
        <v>5</v>
      </c>
      <c r="B13" s="63" t="str">
        <f>Area_based_costs!A13&amp;" "&amp;"($)"</f>
        <v>Tubestock supply and planting ($)</v>
      </c>
      <c r="C13" s="93"/>
      <c r="D13" s="175" t="s">
        <v>2</v>
      </c>
      <c r="E13" s="255"/>
      <c r="F13" s="315">
        <f>IF(D13=Area_based_costs!B10,Area_based_costs!B13,IF(D13=Area_based_costs!C10,Area_based_costs!C13,IF(D13=Area_based_costs!D10,Area_based_costs!D13,IF(D13=Area_based_costs!E10,Area_based_costs!E13,IF(D13=Area_based_costs!F10,Area_based_costs!F13,IF(D13=Area_based_costs!G10,Area_based_costs!G13,IF(D13=Area_based_costs!H10,Area_based_costs!H13,IF(D13=Area_based_costs!I10,Area_based_costs!I13))))))))</f>
        <v>3</v>
      </c>
      <c r="G13" s="61"/>
      <c r="H13" s="155">
        <f>IF(G7="Tubestock",IF(G13&gt;0,G13,F13)*H8,0)</f>
        <v>3000</v>
      </c>
    </row>
    <row r="14" spans="1:12" ht="28.5" x14ac:dyDescent="0.45">
      <c r="A14" s="333">
        <v>6</v>
      </c>
      <c r="B14" s="63" t="s">
        <v>323</v>
      </c>
      <c r="C14" s="93" t="s">
        <v>324</v>
      </c>
      <c r="D14" s="175" t="s">
        <v>2</v>
      </c>
      <c r="E14" s="255"/>
      <c r="F14" s="315">
        <f>IF(D14=Area_based_costs!B10,Area_based_costs!B14,IF(D14=Area_based_costs!C10,Area_based_costs!C14,IF(D14=Area_based_costs!D10,Area_based_costs!D14,IF(D14=Area_based_costs!E10,Area_based_costs!E14,IF(D14=Area_based_costs!F10,Area_based_costs!F14,IF(D14=Area_based_costs!G10,Area_based_costs!G14,IF(D14=Area_based_costs!H10,Area_based_costs!H14,IF(D14=Area_based_costs!I10,Area_based_costs!I14))))))))</f>
        <v>0.5</v>
      </c>
      <c r="G14" s="61"/>
      <c r="H14" s="155">
        <f t="shared" ref="H14" si="0">IF(G14&gt;0,G14,F14)</f>
        <v>0.5</v>
      </c>
    </row>
    <row r="15" spans="1:12" x14ac:dyDescent="0.45">
      <c r="A15" s="333" t="s">
        <v>240</v>
      </c>
      <c r="B15" s="63" t="s">
        <v>347</v>
      </c>
      <c r="C15" s="93" t="s">
        <v>399</v>
      </c>
      <c r="D15" s="175" t="s">
        <v>2</v>
      </c>
      <c r="E15" s="331"/>
      <c r="F15" s="247">
        <f>IF(D15=Area_based_costs!B10,Area_based_costs!B15,IF(D15=Area_based_costs!C10,Area_based_costs!C15,IF(D15=Area_based_costs!D10,Area_based_costs!D15,IF(D15=Area_based_costs!E10,Area_based_costs!E15,IF(D15=Area_based_costs!F10,Area_based_costs!F15,IF(D15=Area_based_costs!G10,Area_based_costs!G15,IF(D15=Area_based_costs!H10,Area_based_costs!H15,IF(D15=Area_based_costs!I10,Area_based_costs!I15))))))))</f>
        <v>16</v>
      </c>
      <c r="G15" s="61"/>
      <c r="H15" s="155">
        <f>IF(G15&gt;0,G15,F15)</f>
        <v>16</v>
      </c>
    </row>
    <row r="16" spans="1:12" x14ac:dyDescent="0.45">
      <c r="A16" s="334" t="s">
        <v>241</v>
      </c>
      <c r="B16" s="63" t="s">
        <v>172</v>
      </c>
      <c r="C16" s="63" t="s">
        <v>186</v>
      </c>
      <c r="D16" s="175" t="s">
        <v>178</v>
      </c>
      <c r="E16" s="94">
        <f>IF(Dashboard_3!D16=Data_Lists!O6,Data_Lists!P6,IF(Dashboard_3!D16=Data_Lists!O7,Data_Lists!P7,IF(Dashboard_3!D16=Data_Lists!O8,Data_Lists!P8,IF(Dashboard_3!D16=Data_Lists!O9,Data_Lists!P9,IF(Dashboard_3!D16=Data_Lists!O10,Data_Lists!P10,IF(Dashboard_3!D16=Data_Lists!O11,Data_Lists!P11,IF(Dashboard_3!D16=Data_Lists!O12,Data_Lists!P12,IF(Dashboard_3!D16=Data_Lists!O13,Data_Lists!P13,IF(Dashboard_3!D16=Data_Lists!O15,Data_Lists!P14)))))))))</f>
        <v>12</v>
      </c>
      <c r="F16" s="305">
        <f>E16</f>
        <v>12</v>
      </c>
      <c r="G16" s="65"/>
      <c r="H16" s="159">
        <f>IF(G16&gt;0.00001,G16,F16)</f>
        <v>12</v>
      </c>
    </row>
    <row r="17" spans="1:8" x14ac:dyDescent="0.45">
      <c r="A17" s="334" t="s">
        <v>326</v>
      </c>
      <c r="B17" s="63" t="s">
        <v>348</v>
      </c>
      <c r="C17" s="63" t="s">
        <v>350</v>
      </c>
      <c r="D17" s="175" t="s">
        <v>189</v>
      </c>
      <c r="E17" s="94">
        <f>IF(Dashboard_3!D17=Data_Lists!O6,Data_Lists!P6,IF(Dashboard_3!D17=Data_Lists!O7,Data_Lists!P7,IF(Dashboard_3!D17=Data_Lists!O8,Data_Lists!P8,IF(Dashboard_3!D17=Data_Lists!O9,Data_Lists!P9,IF(Dashboard_3!D17=Data_Lists!O10,Data_Lists!P10,IF(Dashboard_3!D17=Data_Lists!O11,Data_Lists!P11,IF(Dashboard_3!D17=Data_Lists!O12,Data_Lists!P12,IF(Dashboard_3!D17=Data_Lists!O13,Data_Lists!P13,IF(Dashboard_3!D17=Data_Lists!O14,Data_Lists!P14)))))))))</f>
        <v>4</v>
      </c>
      <c r="F17" s="305">
        <f>E17</f>
        <v>4</v>
      </c>
      <c r="G17" s="65"/>
      <c r="H17" s="159">
        <f>IF(G17&gt;0.00001,G17,F17)</f>
        <v>4</v>
      </c>
    </row>
    <row r="18" spans="1:8" x14ac:dyDescent="0.45">
      <c r="A18" s="334"/>
      <c r="B18" s="63" t="s">
        <v>349</v>
      </c>
      <c r="C18" s="63" t="s">
        <v>351</v>
      </c>
      <c r="D18" s="175" t="s">
        <v>0</v>
      </c>
      <c r="E18" s="94">
        <f>IF(Dashboard_3!D18=Data_Lists!O7,Data_Lists!P7,IF(Dashboard_3!D18=Data_Lists!O8,Data_Lists!P8,IF(Dashboard_3!D18=Data_Lists!O9,Data_Lists!P9,IF(Dashboard_3!D18=Data_Lists!O10,Data_Lists!P10,IF(Dashboard_3!D18=Data_Lists!O11,Data_Lists!P11,IF(Dashboard_3!D18=Data_Lists!O12,Data_Lists!P12,IF(Dashboard_3!D18=Data_Lists!O13,Data_Lists!P13,IF(Dashboard_3!D18=Data_Lists!O14,Data_Lists!P14,IF(Dashboard_3!D18=Data_Lists!O15,Data_Lists!P15)))))))))</f>
        <v>0</v>
      </c>
      <c r="F18" s="305">
        <f>E18</f>
        <v>0</v>
      </c>
      <c r="G18" s="65"/>
      <c r="H18" s="159">
        <f>IF(G18&gt;0.00001,G18,F18)</f>
        <v>0</v>
      </c>
    </row>
    <row r="19" spans="1:8" x14ac:dyDescent="0.45">
      <c r="A19" s="333" t="s">
        <v>327</v>
      </c>
      <c r="B19" s="63" t="s">
        <v>342</v>
      </c>
      <c r="C19" s="93" t="s">
        <v>206</v>
      </c>
      <c r="D19" s="175" t="s">
        <v>2</v>
      </c>
      <c r="E19" s="255"/>
      <c r="F19" s="315">
        <f>IF(D19=Area_based_costs!B10,Area_based_costs!B16,IF(D19=Area_based_costs!C10,Area_based_costs!C16,IF(D19=Area_based_costs!D10,Area_based_costs!D16,IF(D19=Area_based_costs!E10,Area_based_costs!E16,IF(D19=Area_based_costs!F10,Area_based_costs!F16,IF(D19=Area_based_costs!G10,Area_based_costs!G16,IF(D19=Area_based_costs!H10,Area_based_costs!H16,IF(D19=Area_based_costs!I10,Area_based_costs!I16))))))))</f>
        <v>36</v>
      </c>
      <c r="G19" s="61"/>
      <c r="H19" s="155">
        <f t="shared" ref="H19" si="1">IF(G19&gt;0.00001,G19,F19)</f>
        <v>36</v>
      </c>
    </row>
    <row r="20" spans="1:8" x14ac:dyDescent="0.45">
      <c r="A20" s="334" t="s">
        <v>328</v>
      </c>
      <c r="B20" s="237" t="s">
        <v>304</v>
      </c>
      <c r="C20" s="237"/>
      <c r="D20" s="306"/>
      <c r="E20" s="305"/>
      <c r="F20" s="247"/>
      <c r="G20" s="241">
        <v>5</v>
      </c>
      <c r="H20" s="253">
        <f>G20</f>
        <v>5</v>
      </c>
    </row>
    <row r="21" spans="1:8" x14ac:dyDescent="0.45">
      <c r="A21" s="334" t="s">
        <v>329</v>
      </c>
      <c r="B21" s="237" t="s">
        <v>218</v>
      </c>
      <c r="C21" s="237"/>
      <c r="D21" s="244" t="s">
        <v>131</v>
      </c>
      <c r="E21" s="307">
        <f>IF(Dashboard_3!D21=Data_Lists!L2,Data_Lists!M2,IF(Dashboard_3!D21=Data_Lists!L3,Data_Lists!M3,IF(Dashboard_3!D21=Data_Lists!L4,Data_Lists!M4,IF(Dashboard_3!D21=Data_Lists!L5,Data_Lists!M5,IF(Dashboard_3!D21=Data_Lists!L6,Data_Lists!M6,IF(Dashboard_3!D21=Data_Lists!L7,Data_Lists!M7))))))</f>
        <v>0.5</v>
      </c>
      <c r="F21" s="308">
        <f>E21</f>
        <v>0.5</v>
      </c>
      <c r="G21" s="241"/>
      <c r="H21" s="309">
        <f>IF(G21&gt;0.00001,G21,F21)</f>
        <v>0.5</v>
      </c>
    </row>
    <row r="22" spans="1:8" x14ac:dyDescent="0.45">
      <c r="A22" s="334" t="s">
        <v>330</v>
      </c>
      <c r="B22" s="169" t="str">
        <f>Data_Entry!B40</f>
        <v>User specified cost item 1 ($/tree in Year 1 only)</v>
      </c>
      <c r="C22" s="170" t="s">
        <v>168</v>
      </c>
      <c r="D22" s="94"/>
      <c r="E22" s="94"/>
      <c r="F22" s="247"/>
      <c r="G22" s="61"/>
      <c r="H22" s="155">
        <f>IF(G22&gt;0,G22,F22)</f>
        <v>0</v>
      </c>
    </row>
    <row r="23" spans="1:8" x14ac:dyDescent="0.45">
      <c r="A23" s="334" t="s">
        <v>331</v>
      </c>
      <c r="B23" s="169" t="str">
        <f>Data_Entry!B41</f>
        <v>User specified cost item 2 ($/tree per annum up to year 2)</v>
      </c>
      <c r="C23" s="170" t="s">
        <v>168</v>
      </c>
      <c r="D23" s="94"/>
      <c r="E23" s="94"/>
      <c r="F23" s="247"/>
      <c r="G23" s="61"/>
      <c r="H23" s="155">
        <f>IF(G23&gt;0,G23,F23)</f>
        <v>0</v>
      </c>
    </row>
    <row r="24" spans="1:8" x14ac:dyDescent="0.45">
      <c r="A24" s="334" t="s">
        <v>332</v>
      </c>
      <c r="B24" s="169" t="s">
        <v>305</v>
      </c>
      <c r="C24" s="170" t="s">
        <v>168</v>
      </c>
      <c r="D24" s="94"/>
      <c r="E24" s="94"/>
      <c r="F24" s="247"/>
      <c r="G24" s="61"/>
      <c r="H24" s="155">
        <f>IF(G24&gt;0,G24,F24)</f>
        <v>0</v>
      </c>
    </row>
    <row r="25" spans="1:8" x14ac:dyDescent="0.45">
      <c r="A25" s="334" t="s">
        <v>333</v>
      </c>
      <c r="B25" s="169" t="s">
        <v>306</v>
      </c>
      <c r="C25" s="170" t="s">
        <v>168</v>
      </c>
      <c r="D25" s="94"/>
      <c r="E25" s="94"/>
      <c r="F25" s="247"/>
      <c r="G25" s="61"/>
      <c r="H25" s="155">
        <f>IF(G25&gt;0,G25,F25)</f>
        <v>0</v>
      </c>
    </row>
    <row r="26" spans="1:8" x14ac:dyDescent="0.45">
      <c r="A26" s="334" t="s">
        <v>216</v>
      </c>
      <c r="B26" s="169" t="s">
        <v>307</v>
      </c>
      <c r="C26" s="170" t="s">
        <v>168</v>
      </c>
      <c r="D26" s="94"/>
      <c r="E26" s="94"/>
      <c r="F26" s="247"/>
      <c r="G26" s="61"/>
      <c r="H26" s="155">
        <f>IF(G26&gt;0,G26,F26)</f>
        <v>0</v>
      </c>
    </row>
    <row r="27" spans="1:8" x14ac:dyDescent="0.45">
      <c r="A27" s="336"/>
      <c r="B27" s="168"/>
      <c r="C27" s="168"/>
      <c r="D27" s="94"/>
      <c r="E27" s="166"/>
      <c r="F27" s="247"/>
      <c r="G27" s="345"/>
      <c r="H27" s="167"/>
    </row>
    <row r="28" spans="1:8" s="105" customFormat="1" x14ac:dyDescent="0.45">
      <c r="A28" s="337"/>
      <c r="B28" s="52" t="s">
        <v>157</v>
      </c>
      <c r="C28" s="51"/>
      <c r="D28" s="29"/>
      <c r="E28" s="51"/>
      <c r="F28" s="316"/>
      <c r="G28" s="346"/>
      <c r="H28" s="51"/>
    </row>
    <row r="29" spans="1:8" ht="30" customHeight="1" x14ac:dyDescent="0.45">
      <c r="A29" s="334" t="s">
        <v>217</v>
      </c>
      <c r="B29" s="250" t="str">
        <f>Input_Data!B44</f>
        <v>Tree protection fencing ($)</v>
      </c>
      <c r="C29" s="251" t="s">
        <v>343</v>
      </c>
      <c r="D29" s="94"/>
      <c r="E29" s="94"/>
      <c r="F29" s="247"/>
      <c r="G29" s="61"/>
      <c r="H29" s="155">
        <f>IF(G29&gt;0,G29,F29)</f>
        <v>0</v>
      </c>
    </row>
    <row r="30" spans="1:8" x14ac:dyDescent="0.45">
      <c r="A30" s="338"/>
      <c r="B30" s="27" t="s">
        <v>124</v>
      </c>
      <c r="C30" s="23"/>
      <c r="D30" s="106"/>
      <c r="E30" s="23"/>
      <c r="F30" s="317"/>
      <c r="G30" s="60"/>
      <c r="H30" s="35"/>
    </row>
    <row r="31" spans="1:8" x14ac:dyDescent="0.45">
      <c r="A31" s="339" t="s">
        <v>334</v>
      </c>
      <c r="B31" s="114" t="s">
        <v>345</v>
      </c>
      <c r="C31" s="25" t="s">
        <v>27</v>
      </c>
      <c r="D31" s="178" t="s">
        <v>3</v>
      </c>
      <c r="E31" s="32">
        <f>IF(D31=Data_Lists!$D$2,Input_Data!$C$4,IF(D31=Data_Lists!$D$3,Input_Data!$D$4,IF(D31=Data_Lists!$D$4,Input_Data!$E$4,(IF(D31=Data_Lists!$D$5,Input_Data!$F$4,(IF(D31=Data_Lists!$D$6,Input_Data!$G$4,IF(D31=Data_Lists!$D$7,Input_Data!$H$4,IF(D31=Data_Lists!$D$8,Input_Data!$I$4, IF(D31=Data_Lists!$D$9,Input_Data!$J$4))))))))))</f>
        <v>3</v>
      </c>
      <c r="F31" s="318">
        <f>IF(D31=Area_based_costs!B10,Area_based_costs!B17,IF(D31=Area_based_costs!C10,Area_based_costs!C17,IF(D31=Area_based_costs!D10,Area_based_costs!D17,IF(D31=Area_based_costs!E10,Area_based_costs!E17,IF(D31=Area_based_costs!F10,Area_based_costs!F17,IF(D31=Area_based_costs!G10,Area_based_costs!G17,IF(D31=Area_based_costs!H10,Area_based_costs!H17,IF(D31=Area_based_costs!I10,Area_based_costs!I17))))))))</f>
        <v>112.9805845623</v>
      </c>
      <c r="G31" s="59"/>
      <c r="H31" s="152">
        <f>IF(G31&gt;0,G31,F31)</f>
        <v>112.9805845623</v>
      </c>
    </row>
    <row r="32" spans="1:8" x14ac:dyDescent="0.45">
      <c r="A32" s="339" t="s">
        <v>335</v>
      </c>
      <c r="B32" s="114" t="s">
        <v>344</v>
      </c>
      <c r="C32" s="26" t="s">
        <v>28</v>
      </c>
      <c r="D32" s="178" t="s">
        <v>2</v>
      </c>
      <c r="E32" s="32">
        <f>IF(D32=Data_Lists!$D$2,Input_Data!$C$4,IF(D32=Data_Lists!$D$3,Input_Data!$D$4,IF(D32=Data_Lists!$D$4,Input_Data!$E$4,(IF(D32=Data_Lists!$D$5,Input_Data!$F$4,(IF(D32=Data_Lists!$D$6,Input_Data!$G$4,IF(D32=Data_Lists!$D$7,Input_Data!$H$4,IF(D32=Data_Lists!$D$8,Input_Data!$I$4, IF(D32=Data_Lists!$D$9,Input_Data!$J$4))))))))))</f>
        <v>2</v>
      </c>
      <c r="F32" s="318">
        <f>IF(D32=Area_based_costs!B10,Area_based_costs!B18,IF(D32=Area_based_costs!C10,Area_based_costs!C18,IF(D32=Area_based_costs!D10,Area_based_costs!D18,IF(D32=Area_based_costs!E10,Area_based_costs!E18,IF(D32=Area_based_costs!F10,Area_based_costs!F18,IF(D32=Area_based_costs!G10,Area_based_costs!G18,IF(D32=Area_based_costs!H10,Area_based_costs!H18,IF(D32=Area_based_costs!I10,Area_based_costs!I18))))))))</f>
        <v>27.457285728599995</v>
      </c>
      <c r="G32" s="59"/>
      <c r="H32" s="152">
        <f>IF(G32&gt;0,G32,F32)</f>
        <v>27.457285728599995</v>
      </c>
    </row>
    <row r="33" spans="1:12" s="116" customFormat="1" x14ac:dyDescent="0.45">
      <c r="A33" s="339" t="s">
        <v>123</v>
      </c>
      <c r="B33" s="303" t="str">
        <f>Input_Data!B53</f>
        <v>GIS mapping and inventory assessment ($)</v>
      </c>
      <c r="C33" s="114" t="s">
        <v>125</v>
      </c>
      <c r="D33" s="179" t="s">
        <v>2</v>
      </c>
      <c r="E33" s="115">
        <f>IF(D33=Data_Lists!$D$2,Input_Data!$C$4,IF(D33=Data_Lists!$D$3,Input_Data!$D$4,IF(D33=Data_Lists!$D$4,Input_Data!$E$4,(IF(D33=Data_Lists!$D$5,Input_Data!$F$4,(IF(D33=Data_Lists!$D$6,Input_Data!$G$4,IF(D33=Data_Lists!$D$7,Input_Data!$H$4,IF(D33=Data_Lists!$D$8,Input_Data!$I$4, IF(D33=Data_Lists!$D$9,Input_Data!$J$4))))))))))</f>
        <v>2</v>
      </c>
      <c r="F33" s="318">
        <f>IF(D33=Area_based_costs!B10,Area_based_costs!B20,IF(D33=Area_based_costs!C10,Area_based_costs!C20,IF(D33=Area_based_costs!D10,Area_based_costs!D20,IF(D33=Area_based_costs!E10,Area_based_costs!E20,IF(D33=Area_based_costs!F10,Area_based_costs!F20,IF(D33=Area_based_costs!G10,Area_based_costs!G20,IF(D33=Area_based_costs!H10,Area_based_costs!H20,IF(D33=Area_based_costs!I10,Area_based_costs!I20))))))))</f>
        <v>1500</v>
      </c>
      <c r="G33" s="135"/>
      <c r="H33" s="304">
        <f>IF(G33&gt;0,G33,F33)</f>
        <v>1500</v>
      </c>
    </row>
    <row r="34" spans="1:12" x14ac:dyDescent="0.45">
      <c r="A34" s="338"/>
      <c r="B34" s="383" t="s">
        <v>400</v>
      </c>
      <c r="C34" s="383"/>
      <c r="D34" s="383"/>
      <c r="E34" s="383"/>
      <c r="F34" s="319"/>
      <c r="G34" s="60"/>
      <c r="H34" s="35"/>
    </row>
    <row r="35" spans="1:12" ht="28.5" x14ac:dyDescent="0.45">
      <c r="A35" s="340" t="s">
        <v>336</v>
      </c>
      <c r="B35" s="103" t="s">
        <v>236</v>
      </c>
      <c r="C35" s="103" t="s">
        <v>310</v>
      </c>
      <c r="D35" s="103"/>
      <c r="E35" s="103"/>
      <c r="F35" s="320">
        <v>0.4</v>
      </c>
      <c r="G35" s="194"/>
      <c r="H35" s="195">
        <f>IF(G35&gt;0,G35,F35)</f>
        <v>0.4</v>
      </c>
    </row>
    <row r="36" spans="1:12" ht="28.5" x14ac:dyDescent="0.45">
      <c r="A36" s="334" t="s">
        <v>337</v>
      </c>
      <c r="B36" s="93" t="s">
        <v>271</v>
      </c>
      <c r="C36" s="93" t="s">
        <v>311</v>
      </c>
      <c r="D36" s="93"/>
      <c r="E36" s="93"/>
      <c r="F36" s="321">
        <v>7.0000000000000007E-2</v>
      </c>
      <c r="G36" s="118"/>
      <c r="H36" s="192">
        <f>IF(G36&gt;0,G36,F36)</f>
        <v>7.0000000000000007E-2</v>
      </c>
    </row>
    <row r="37" spans="1:12" ht="28.5" x14ac:dyDescent="0.45">
      <c r="A37" s="341" t="s">
        <v>338</v>
      </c>
      <c r="B37" s="114" t="s">
        <v>382</v>
      </c>
      <c r="C37" s="114" t="s">
        <v>312</v>
      </c>
      <c r="D37" s="114"/>
      <c r="E37" s="114"/>
      <c r="F37" s="322">
        <v>0.02</v>
      </c>
      <c r="G37" s="118"/>
      <c r="H37" s="192">
        <f>IF(G37&gt;0,G37,F37)</f>
        <v>0.02</v>
      </c>
      <c r="K37" t="s">
        <v>89</v>
      </c>
    </row>
    <row r="38" spans="1:12" x14ac:dyDescent="0.45">
      <c r="A38" s="341" t="s">
        <v>339</v>
      </c>
      <c r="B38" s="114" t="s">
        <v>383</v>
      </c>
      <c r="C38" s="114" t="s">
        <v>239</v>
      </c>
      <c r="D38" s="114"/>
      <c r="E38" s="114"/>
      <c r="F38" s="322">
        <v>0.02</v>
      </c>
      <c r="G38" s="118"/>
      <c r="H38" s="192">
        <f>IF(G38&gt;0,G38,F38)</f>
        <v>0.02</v>
      </c>
    </row>
    <row r="39" spans="1:12" x14ac:dyDescent="0.45">
      <c r="A39" s="338"/>
      <c r="B39" s="27" t="s">
        <v>32</v>
      </c>
      <c r="C39" s="23"/>
      <c r="D39" s="23"/>
      <c r="E39" s="23"/>
      <c r="F39" s="323"/>
      <c r="G39" s="60"/>
      <c r="H39" s="35"/>
    </row>
    <row r="40" spans="1:12" x14ac:dyDescent="0.45">
      <c r="A40" s="340" t="s">
        <v>430</v>
      </c>
      <c r="B40" s="102" t="s">
        <v>34</v>
      </c>
      <c r="C40" s="103" t="s">
        <v>35</v>
      </c>
      <c r="D40" s="103"/>
      <c r="E40" s="103"/>
      <c r="F40" s="324">
        <v>7.0000000000000007E-2</v>
      </c>
      <c r="G40" s="194"/>
      <c r="H40" s="203">
        <f>IF(G40&gt;0,G40,F40)</f>
        <v>7.0000000000000007E-2</v>
      </c>
    </row>
    <row r="41" spans="1:12" x14ac:dyDescent="0.45">
      <c r="A41" s="334" t="s">
        <v>431</v>
      </c>
      <c r="B41" s="63" t="s">
        <v>36</v>
      </c>
      <c r="C41" s="93" t="s">
        <v>37</v>
      </c>
      <c r="D41" s="93"/>
      <c r="E41" s="93"/>
      <c r="F41" s="325">
        <v>2.5000000000000001E-2</v>
      </c>
      <c r="G41" s="118"/>
      <c r="H41" s="201">
        <f>IF(G41&gt;0,G41,F41)</f>
        <v>2.5000000000000001E-2</v>
      </c>
    </row>
    <row r="42" spans="1:12" ht="14.65" thickBot="1" x14ac:dyDescent="0.5">
      <c r="A42" s="342" t="s">
        <v>432</v>
      </c>
      <c r="B42" s="204" t="s">
        <v>275</v>
      </c>
      <c r="C42" s="205" t="s">
        <v>276</v>
      </c>
      <c r="D42" s="205"/>
      <c r="E42" s="205"/>
      <c r="F42" s="326">
        <v>30</v>
      </c>
      <c r="G42" s="206"/>
      <c r="H42" s="208">
        <f>F42</f>
        <v>30</v>
      </c>
    </row>
    <row r="43" spans="1:12" s="47" customFormat="1" ht="14.65" thickTop="1" x14ac:dyDescent="0.45">
      <c r="A43" s="110"/>
      <c r="B43" s="110"/>
      <c r="C43" s="110"/>
      <c r="D43" s="110"/>
      <c r="E43" s="110"/>
      <c r="F43" s="327"/>
      <c r="G43" s="110"/>
      <c r="H43" s="110"/>
      <c r="I43" s="83"/>
      <c r="J43" s="83"/>
      <c r="K43" s="83"/>
      <c r="L43" s="83"/>
    </row>
    <row r="44" spans="1:12" s="47" customFormat="1" ht="15.75" hidden="1" customHeight="1" x14ac:dyDescent="0.45">
      <c r="A44"/>
      <c r="B44"/>
      <c r="C44"/>
      <c r="D44" s="17"/>
      <c r="E44"/>
      <c r="F44" s="136"/>
      <c r="G44"/>
      <c r="H44"/>
    </row>
  </sheetData>
  <sheetProtection algorithmName="SHA-512" hashValue="60GW/Ojhnkb8svj+OnslSzQe4YODLZTUMigYXqGNxk7mp0s8KcNGp368eQyN/mToTxMgtSs6mQ9UgFd7kpqSog==" saltValue="We7+pnaJAGGhtFegNgRZyw==" spinCount="100000" sheet="1" formatCells="0" formatColumns="0" formatRows="0" selectLockedCells="1"/>
  <mergeCells count="3">
    <mergeCell ref="B2:H2"/>
    <mergeCell ref="C9:C10"/>
    <mergeCell ref="B34:E34"/>
  </mergeCells>
  <phoneticPr fontId="10" type="noConversion"/>
  <dataValidations xWindow="1713" yWindow="1172" count="4">
    <dataValidation allowBlank="1" showInputMessage="1" showErrorMessage="1" promptTitle="Financial rates" prompt="Enter the financial paramaters you typically use for investment decisions." sqref="B39" xr:uid="{2F54ECB9-3988-4E9A-83DD-9B80169761B0}"/>
    <dataValidation allowBlank="1" showInputMessage="1" showErrorMessage="1" promptTitle="Own price estimate" prompt="If you have better estimates than those in the drop-down menus, enter your values under this column_x000a_" sqref="G11" xr:uid="{B5FD37DF-E1C8-483E-8525-74706A64D814}"/>
    <dataValidation type="whole" operator="greaterThanOrEqual" allowBlank="1" showInputMessage="1" showErrorMessage="1" error="Enter a number greater or equal to 0" promptTitle="Trees to be removed" prompt="Where applicable, enter the number of trees that will be removed from the project site" sqref="G9" xr:uid="{75506376-7271-4E01-AF5D-9386804BFB4F}">
      <formula1>0</formula1>
    </dataValidation>
    <dataValidation allowBlank="1" showInputMessage="1" showErrorMessage="1" promptTitle="Area (ha) inspected" prompt="Visual inspection area (ha)_x000a_" sqref="G20" xr:uid="{8B21C3F2-E823-47B8-9844-2D94137A66CD}"/>
  </dataValidations>
  <pageMargins left="0.7" right="0.7" top="0.75" bottom="0.75" header="0.3" footer="0.3"/>
  <ignoredErrors>
    <ignoredError sqref="A22 A23:A26 A29:A33" numberStoredAsText="1"/>
  </ignoredErrors>
  <extLst>
    <ext xmlns:x14="http://schemas.microsoft.com/office/spreadsheetml/2009/9/main" uri="{CCE6A557-97BC-4b89-ADB6-D9C93CAAB3DF}">
      <x14:dataValidations xmlns:xm="http://schemas.microsoft.com/office/excel/2006/main" xWindow="1713" yWindow="1172" count="25">
        <x14:dataValidation type="list" allowBlank="1" showInputMessage="1" showErrorMessage="1" errorTitle="Post-establishment mortality rat" error="Select value from the drop-down menu" promptTitle="Accidental mortality rates" prompt="This is the estimated percent (%) of trees that will die due to accidents" xr:uid="{F5F630EE-A168-4C57-AD7D-512004405CF3}">
          <x14:formula1>
            <xm:f>Data_Lists!$H$2:$H$82</xm:f>
          </x14:formula1>
          <xm:sqref>F37</xm:sqref>
        </x14:dataValidation>
        <x14:dataValidation type="list" allowBlank="1" showInputMessage="1" showErrorMessage="1" promptTitle="Mortality rate-good maintenance" prompt="Select your estimated survival rate under a good maintenance regime (should be less than value above - in 24a)_x000a_" xr:uid="{C4E7E300-1D7A-4DF6-9478-237F44612C54}">
          <x14:formula1>
            <xm:f>Data_Lists!$H$2:$H$82</xm:f>
          </x14:formula1>
          <xm:sqref>F36</xm:sqref>
        </x14:dataValidation>
        <x14:dataValidation type="list" allowBlank="1" showInputMessage="1" showErrorMessage="1" errorTitle="STOP" error="Select frequency from the drop down menu" promptTitle="Rapid inspection frequency" prompt="This is the estimated average frequency for rapid visual tree inspections. Alternatively, enter the average annual inspection frequency in Column G" xr:uid="{0F19C02B-C90C-4B28-93A8-290C12637A5F}">
          <x14:formula1>
            <xm:f>Data_Lists!$L$2:$L$7</xm:f>
          </x14:formula1>
          <xm:sqref>D21</xm:sqref>
        </x14:dataValidation>
        <x14:dataValidation type="list" allowBlank="1" showInputMessage="1" showErrorMessage="1" errorTitle="STOP" error="Select frequency from the drop down menu" promptTitle="Year 1 watering frequency" prompt="Select the desired frequency or enter the estimate average number of watering visits for the whole year in Column G. If the cost is not relevant select N/A" xr:uid="{4BFBBFB8-C75A-4FBD-8858-633FCA5DC820}">
          <x14:formula1>
            <xm:f>Data_Lists!$O$6:$O$14</xm:f>
          </x14:formula1>
          <xm:sqref>D16</xm:sqref>
        </x14:dataValidation>
        <x14:dataValidation type="list" allowBlank="1" showInputMessage="1" showErrorMessage="1" promptTitle="Visual tree inspection" prompt="Select the cost level most appropriate to your project. Cost range from percentile p0 to p100, with p0 representing the lowest cost and p100 represent the highest cost. If the cost is not relevant select N/A" xr:uid="{FB8C7632-9A9D-46E5-8E23-F7028CCCC35B}">
          <x14:formula1>
            <xm:f>Data_Lists!$D$2:$D$9</xm:f>
          </x14:formula1>
          <xm:sqref>D19</xm:sqref>
        </x14:dataValidation>
        <x14:dataValidation type="list" allowBlank="1" showInputMessage="1" showErrorMessage="1" promptTitle="Watering $/ha" prompt="Select the cost level most appropriate to your project. Cost range from percentile p0 to p100, with p0 representing the lowest cost and p100 represent the highest cost. If the cost is not relevant select N/A" xr:uid="{0F1642F3-322F-4C61-8B38-8211EBDE78B1}">
          <x14:formula1>
            <xm:f>Data_Lists!$D$2:$D$9</xm:f>
          </x14:formula1>
          <xm:sqref>D15</xm:sqref>
        </x14:dataValidation>
        <x14:dataValidation type="list" allowBlank="1" showInputMessage="1" showErrorMessage="1" promptTitle="Tubestock guard/sleeves" prompt="Select the cost level most appropriate to your project. Cost range from percentile p0 to p100, with p0 representing the lowest cost and p100 represent the highest cost. If the cost is not relevant select N/A" xr:uid="{E53A81A6-D874-4AA0-8DC0-6806474EC230}">
          <x14:formula1>
            <xm:f>Data_Lists!$D$2:$D$9</xm:f>
          </x14:formula1>
          <xm:sqref>D14</xm:sqref>
        </x14:dataValidation>
        <x14:dataValidation type="list" allowBlank="1" showInputMessage="1" showErrorMessage="1" promptTitle="Tree removal" prompt="Select the cost level most appropriate to your project. Cost range from percentile p0 for small trees to p100 for extra large trees. The &quot;average&quot; cost is for a medium sized tree. If the cost is not relevant select N/A" xr:uid="{428B4CFB-D00B-4116-95C7-8F2F323758B6}">
          <x14:formula1>
            <xm:f>Data_Lists!$D$2:$D$9</xm:f>
          </x14:formula1>
          <xm:sqref>D10</xm:sqref>
        </x14:dataValidation>
        <x14:dataValidation type="list" allowBlank="1" showInputMessage="1" showErrorMessage="1" errorTitle="Post-establishment mortality rat" error="Select value from the drop-down menu" promptTitle="Deliberate/vandalism deaths" prompt="This is the mortality rate due to deliberate human actions" xr:uid="{9806EC77-0E1C-434D-90C5-E27B1D7C7848}">
          <x14:formula1>
            <xm:f>Data_Lists!$H$2:$H$82</xm:f>
          </x14:formula1>
          <xm:sqref>F38</xm:sqref>
        </x14:dataValidation>
        <x14:dataValidation type="list" allowBlank="1" showInputMessage="1" showErrorMessage="1" errorTitle="Iflation rate" error="Recommended base inflation rate is 2.5% as per the the RBA target of 2-3% target. Use the other rates for sensitivity analysis purposes." promptTitle="Inflation rate" prompt="Recommended base inflation rate is 2.5% as per the the RBA target of 2-3% target. Use the other rates for sensitivity analysis purposes." xr:uid="{2233FE71-561F-499D-9757-53B5F38D0B20}">
          <x14:formula1>
            <xm:f>Data_Lists!$J$2:$J$16</xm:f>
          </x14:formula1>
          <xm:sqref>F41</xm:sqref>
        </x14:dataValidation>
        <x14:dataValidation type="list" allowBlank="1" showInputMessage="1" showErrorMessage="1" promptTitle="Mortality rate-poor maintenance" prompt="Select your estimated baseline survival rate" xr:uid="{828D5FF8-7CA8-4B81-85F6-BE081D85B7A6}">
          <x14:formula1>
            <xm:f>Data_Lists!$H$2:$H$82</xm:f>
          </x14:formula1>
          <xm:sqref>F35</xm:sqref>
        </x14:dataValidation>
        <x14:dataValidation type="list" allowBlank="1" showInputMessage="1" showErrorMessage="1" promptTitle="First 10 years maintenance" prompt="Select the cost level most appropriate to your project. Cost range from percentile p0 to p100, with p0 representing the lowest cost and p100 represent the highest cost. If the cost is not relevant select N/A" xr:uid="{6D08C3B0-67BF-4A53-938D-34EF9FBDECA7}">
          <x14:formula1>
            <xm:f>Data_Lists!$D$2:$D$9</xm:f>
          </x14:formula1>
          <xm:sqref>D31</xm:sqref>
        </x14:dataValidation>
        <x14:dataValidation type="list" allowBlank="1" showInputMessage="1" showErrorMessage="1" promptTitle="Cost of removing any trees" prompt="Select the cost level most appropriate to your project. Cost range from percentile p0 to p100, with p0 representing the lowest cost and p100 represent the highest cost. If the cost is not relevant select N/A" xr:uid="{3EBE7FDB-4F14-40D3-BFA2-60EB68E70067}">
          <x14:formula1>
            <xm:f>Data_Lists!$D$2:$D$9</xm:f>
          </x14:formula1>
          <xm:sqref>D10</xm:sqref>
        </x14:dataValidation>
        <x14:dataValidation type="list" allowBlank="1" showInputMessage="1" showErrorMessage="1" promptTitle="Stakes and ties cost" prompt="Select the cost level most appropriate to your project. Cost range from percentile p0 to p100, with p0 representing the lowest cost and p100 represent the highest cost. If the cost is not relevant select N/A" xr:uid="{3B303C6A-46DB-4675-8428-0DB1CC74C918}">
          <x14:formula1>
            <xm:f>Data_Lists!$D$2:$D$9</xm:f>
          </x14:formula1>
          <xm:sqref>D14</xm:sqref>
        </x14:dataValidation>
        <x14:dataValidation type="list" allowBlank="1" showInputMessage="1" showErrorMessage="1" errorTitle="Discount rate" error="Recommended base discount rate is 7% as per the Office of Best Practice Regulation." promptTitle="Discount rate" prompt="Recommended base discount rate is 7% as per the Office of Best Practice Regulation. Use the other rates for sensitivity analysis purposes" xr:uid="{42768516-7ACB-436F-B650-926575229450}">
          <x14:formula1>
            <xm:f>Data_Lists!$I$2:$I$9</xm:f>
          </x14:formula1>
          <xm:sqref>F40</xm:sqref>
        </x14:dataValidation>
        <x14:dataValidation type="list" allowBlank="1" showInputMessage="1" showErrorMessage="1" errorTitle="Appraisal period" error="Recommended appraisal period is 30 years" promptTitle="Appraisal period" prompt="Recommended appraisal period is 30 years. But you can select a different appraisal." xr:uid="{7C6766BF-1940-4A37-BF1D-FE0E91E9265E}">
          <x14:formula1>
            <xm:f>Data_Lists!$B$11:$B$16</xm:f>
          </x14:formula1>
          <xm:sqref>F42</xm:sqref>
        </x14:dataValidation>
        <x14:dataValidation type="list" allowBlank="1" showInputMessage="1" showErrorMessage="1" errorTitle="Planting method" error="Select plant pot size in litres from the drop down menu" promptTitle="Planting method" prompt="Select plant pot size in litres from the drop down menu" xr:uid="{0D679BFE-4FFB-4707-8AB8-2E6408E81177}">
          <x14:formula1>
            <xm:f>Data_Lists!$B$19:$B$20</xm:f>
          </x14:formula1>
          <xm:sqref>G7</xm:sqref>
        </x14:dataValidation>
        <x14:dataValidation type="list" allowBlank="1" showInputMessage="1" showErrorMessage="1" promptTitle="Tubestock density" prompt="Select your project's tubestock density per ha" xr:uid="{C4D184F7-C6C7-4272-8190-1358E5A2B4A5}">
          <x14:formula1>
            <xm:f>Data_Lists!$D$19:$D$28</xm:f>
          </x14:formula1>
          <xm:sqref>G8</xm:sqref>
        </x14:dataValidation>
        <x14:dataValidation type="list" operator="greaterThan" allowBlank="1" showInputMessage="1" showErrorMessage="1" errorTitle="Planting method" error="Select your planting method from the drop-down menu." promptTitle="Area based planting method" prompt="Select your planting method from the drop-down menu." xr:uid="{2FA44548-61A2-40BB-B826-994F24120C7D}">
          <x14:formula1>
            <xm:f>Data_Lists!$B$19:$B$20</xm:f>
          </x14:formula1>
          <xm:sqref>G7</xm:sqref>
        </x14:dataValidation>
        <x14:dataValidation type="list" allowBlank="1" showInputMessage="1" showErrorMessage="1" promptTitle="GIS mapping and inventory ass't" prompt="Select the cost level most appropriate to your project. Cost range from percentile p0 to p100, with p0 representing the lowest cost and p100 represent the highest cost. If the cost is not relevant select N/A" xr:uid="{B67A0D80-AEF0-45EC-AE45-6AC024BF20D0}">
          <x14:formula1>
            <xm:f>Data_Lists!$D$2:$D$9</xm:f>
          </x14:formula1>
          <xm:sqref>D33</xm:sqref>
        </x14:dataValidation>
        <x14:dataValidation type="list" allowBlank="1" showInputMessage="1" showErrorMessage="1" errorTitle="Tree supply cost" promptTitle="Tubestock supply and planting" prompt="Select the cost level most appropriate to your project. Cost range from percentile p0 to p100, with p0 representing the lowest cost and p100 represent the highest cost. If the cost is not relevant select N/A" xr:uid="{6D7C6A15-014D-47A3-AAA3-2892D210BAEC}">
          <x14:formula1>
            <xm:f>Data_Lists!$D$2:$D$9</xm:f>
          </x14:formula1>
          <xm:sqref>D13</xm:sqref>
        </x14:dataValidation>
        <x14:dataValidation type="list" allowBlank="1" showInputMessage="1" showErrorMessage="1" errorTitle="STOP" error="Select frequency from the drop down menu" promptTitle="Year 10+ watering frequency" prompt="Select the desired frequency or enter the estimate average number of watering visits for the whole year in Column G. If the cost is not relevant select N/A" xr:uid="{D14982D1-B9FD-4298-8A79-3AC90BE4F3BC}">
          <x14:formula1>
            <xm:f>Data_Lists!$O$6:$O$14</xm:f>
          </x14:formula1>
          <xm:sqref>D18</xm:sqref>
        </x14:dataValidation>
        <x14:dataValidation type="list" allowBlank="1" showInputMessage="1" showErrorMessage="1" errorTitle="Tree supply cost" promptTitle="Seeding cost" prompt="Select the cost level most appropriate to your project. Cost range from percentile p0 to p100, with p0 representing the lowest cost and p100 represent the highest cost. If the cost is not relevant select N/A" xr:uid="{5A37F925-F310-4D63-9B0C-FCCE46B6645A}">
          <x14:formula1>
            <xm:f>Data_Lists!$D$2:$D$9</xm:f>
          </x14:formula1>
          <xm:sqref>D12</xm:sqref>
        </x14:dataValidation>
        <x14:dataValidation type="list" allowBlank="1" showInputMessage="1" showErrorMessage="1" errorTitle="STOP" error="Select frequency from the drop down menu" promptTitle="Year 2-10 watering frequency" prompt="Select the desired frequency or enter the estimate average number of watering visits for the whole year in Column G. If the cost is not relevant select N/A" xr:uid="{31BDF4A8-A598-4FF4-9A33-2D18EC7AA3E0}">
          <x14:formula1>
            <xm:f>Data_Lists!$O$6:$O$14</xm:f>
          </x14:formula1>
          <xm:sqref>D17</xm:sqref>
        </x14:dataValidation>
        <x14:dataValidation type="list" allowBlank="1" showInputMessage="1" showErrorMessage="1" promptTitle=" Maintenance after year 10" prompt="Select the cost level most appropriate to your project. Cost range from percentile p0 to p100, with p0 representing the lowest cost and p100 represent the highest cost. If the cost is not relevant select N/A" xr:uid="{D7403854-8FC8-4085-BD9B-D7CFED8871ED}">
          <x14:formula1>
            <xm:f>Data_Lists!$D$2:$D$9</xm:f>
          </x14:formula1>
          <xm:sqref>D32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0707-FC04-4897-A82F-7A3B464F16E4}">
  <sheetPr>
    <tabColor theme="6"/>
  </sheetPr>
  <dimension ref="A1:CT79"/>
  <sheetViews>
    <sheetView zoomScale="115" zoomScaleNormal="115" workbookViewId="0">
      <pane xSplit="1" ySplit="2" topLeftCell="B3" activePane="bottomRight" state="frozen"/>
      <selection activeCell="B38" sqref="B38"/>
      <selection pane="topRight" activeCell="B38" sqref="B38"/>
      <selection pane="bottomLeft" activeCell="B38" sqref="B38"/>
      <selection pane="bottomRight" activeCell="H16" sqref="H16"/>
    </sheetView>
  </sheetViews>
  <sheetFormatPr defaultColWidth="0" defaultRowHeight="14.25" zeroHeight="1" x14ac:dyDescent="0.45"/>
  <cols>
    <col min="1" max="1" width="52.3984375" style="41" customWidth="1"/>
    <col min="2" max="2" width="19" bestFit="1" customWidth="1"/>
    <col min="3" max="5" width="16.265625" bestFit="1" customWidth="1"/>
    <col min="6" max="6" width="17.3984375" bestFit="1" customWidth="1"/>
    <col min="7" max="9" width="16.265625" bestFit="1" customWidth="1"/>
    <col min="10" max="10" width="17.3984375" bestFit="1" customWidth="1"/>
    <col min="11" max="13" width="16.265625" bestFit="1" customWidth="1"/>
    <col min="14" max="14" width="17.3984375" bestFit="1" customWidth="1"/>
    <col min="15" max="17" width="16.265625" bestFit="1" customWidth="1"/>
    <col min="18" max="18" width="17.3984375" bestFit="1" customWidth="1"/>
    <col min="19" max="21" width="16.265625" bestFit="1" customWidth="1"/>
    <col min="22" max="22" width="17.3984375" bestFit="1" customWidth="1"/>
    <col min="23" max="25" width="16.265625" bestFit="1" customWidth="1"/>
    <col min="26" max="26" width="17.3984375" bestFit="1" customWidth="1"/>
    <col min="27" max="27" width="16.265625" bestFit="1" customWidth="1"/>
    <col min="28" max="32" width="17.3984375" bestFit="1" customWidth="1"/>
    <col min="33" max="51" width="12.73046875" customWidth="1"/>
    <col min="52" max="98" width="0" style="47" hidden="1" customWidth="1"/>
    <col min="99" max="16384" width="12.73046875" style="47" hidden="1"/>
  </cols>
  <sheetData>
    <row r="1" spans="1:98" x14ac:dyDescent="0.4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98" s="138" customFormat="1" ht="18" x14ac:dyDescent="0.55000000000000004">
      <c r="A2" s="148" t="s">
        <v>48</v>
      </c>
      <c r="B2" s="149" t="s">
        <v>49</v>
      </c>
      <c r="C2" s="149" t="s">
        <v>50</v>
      </c>
      <c r="D2" s="149" t="s">
        <v>51</v>
      </c>
      <c r="E2" s="149" t="s">
        <v>52</v>
      </c>
      <c r="F2" s="149" t="s">
        <v>53</v>
      </c>
      <c r="G2" s="149" t="s">
        <v>54</v>
      </c>
      <c r="H2" s="149" t="s">
        <v>55</v>
      </c>
      <c r="I2" s="149" t="s">
        <v>56</v>
      </c>
      <c r="J2" s="149" t="s">
        <v>57</v>
      </c>
      <c r="K2" s="149" t="s">
        <v>58</v>
      </c>
      <c r="L2" s="149" t="s">
        <v>59</v>
      </c>
      <c r="M2" s="149" t="s">
        <v>60</v>
      </c>
      <c r="N2" s="149" t="s">
        <v>61</v>
      </c>
      <c r="O2" s="149" t="s">
        <v>62</v>
      </c>
      <c r="P2" s="149" t="s">
        <v>63</v>
      </c>
      <c r="Q2" s="149" t="s">
        <v>64</v>
      </c>
      <c r="R2" s="149" t="s">
        <v>65</v>
      </c>
      <c r="S2" s="149" t="s">
        <v>66</v>
      </c>
      <c r="T2" s="149" t="s">
        <v>67</v>
      </c>
      <c r="U2" s="149" t="s">
        <v>68</v>
      </c>
      <c r="V2" s="149" t="s">
        <v>69</v>
      </c>
      <c r="W2" s="149" t="s">
        <v>70</v>
      </c>
      <c r="X2" s="149" t="s">
        <v>71</v>
      </c>
      <c r="Y2" s="149" t="s">
        <v>72</v>
      </c>
      <c r="Z2" s="149" t="s">
        <v>73</v>
      </c>
      <c r="AA2" s="149" t="s">
        <v>74</v>
      </c>
      <c r="AB2" s="149" t="s">
        <v>75</v>
      </c>
      <c r="AC2" s="149" t="s">
        <v>76</v>
      </c>
      <c r="AD2" s="149" t="s">
        <v>77</v>
      </c>
      <c r="AE2" s="149" t="s">
        <v>78</v>
      </c>
      <c r="AF2" s="149" t="s">
        <v>273</v>
      </c>
      <c r="AG2" s="149" t="s">
        <v>277</v>
      </c>
      <c r="AH2" s="149" t="s">
        <v>278</v>
      </c>
      <c r="AI2" s="149" t="s">
        <v>279</v>
      </c>
      <c r="AJ2" s="149" t="s">
        <v>280</v>
      </c>
      <c r="AK2" s="149" t="s">
        <v>281</v>
      </c>
      <c r="AL2" s="149" t="s">
        <v>282</v>
      </c>
      <c r="AM2" s="149" t="s">
        <v>283</v>
      </c>
      <c r="AN2" s="149" t="s">
        <v>284</v>
      </c>
      <c r="AO2" s="149" t="s">
        <v>285</v>
      </c>
      <c r="AP2" s="149" t="s">
        <v>286</v>
      </c>
      <c r="AQ2" s="149" t="s">
        <v>287</v>
      </c>
      <c r="AR2" s="149" t="s">
        <v>288</v>
      </c>
      <c r="AS2" s="149" t="s">
        <v>289</v>
      </c>
      <c r="AT2" s="149" t="s">
        <v>290</v>
      </c>
      <c r="AU2" s="149" t="s">
        <v>291</v>
      </c>
      <c r="AV2" s="149" t="s">
        <v>292</v>
      </c>
      <c r="AW2" s="149" t="s">
        <v>293</v>
      </c>
      <c r="AX2" s="149" t="s">
        <v>294</v>
      </c>
      <c r="AY2" s="149" t="s">
        <v>295</v>
      </c>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row>
    <row r="3" spans="1:98" s="138" customFormat="1" x14ac:dyDescent="0.45">
      <c r="A3" s="144" t="s">
        <v>79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row>
    <row r="4" spans="1:98" s="138" customFormat="1" x14ac:dyDescent="0.45">
      <c r="A4" s="136" t="str">
        <f>Dashboard_1!B11</f>
        <v>Concrete cutting ($)</v>
      </c>
      <c r="B4" s="137">
        <f>Dashboard_1!$H$11*Dashboard_1!$H$12</f>
        <v>0</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98" s="138" customFormat="1" x14ac:dyDescent="0.45">
      <c r="A5" s="136" t="str">
        <f>Dashboard_1!B13</f>
        <v>Supply ($)</v>
      </c>
      <c r="B5" s="137">
        <f>Dashboard_1!$H$6*Dashboard_1!H13</f>
        <v>18687.190075840001</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98" s="138" customFormat="1" x14ac:dyDescent="0.45">
      <c r="A6" s="136" t="str">
        <f>Dashboard_1!B19</f>
        <v>Tree installation ($)</v>
      </c>
      <c r="B6" s="137">
        <f>Dashboard_1!$H$6*SUM(Dashboard_1!H19)</f>
        <v>0</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98" s="138" customFormat="1" x14ac:dyDescent="0.45">
      <c r="A7" s="136" t="str">
        <f>Dashboard_1!B20</f>
        <v>Unbundled installation</v>
      </c>
      <c r="B7" s="137">
        <f>IF(B6=0,(Dashboard_1!H6/Dashboard_1!H22)*SUM(Dashboard_1!H21:H23),0)</f>
        <v>2433.3333333333335</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98" s="138" customFormat="1" x14ac:dyDescent="0.45">
      <c r="A8" s="136" t="str">
        <f>Dashboard_1!B16</f>
        <v>Mulch cost ($/m3)</v>
      </c>
      <c r="B8" s="137">
        <f>Dashboard_1!$H$6*Dashboard_1!H16*Dashboard_1!H17</f>
        <v>976.83311460799996</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98" s="138" customFormat="1" x14ac:dyDescent="0.45">
      <c r="A9" s="136" t="str">
        <f>Dashboard_1!B18</f>
        <v>Stakes and ties ($)</v>
      </c>
      <c r="B9" s="137">
        <f>Dashboard_1!$H$6*Dashboard_1!H18</f>
        <v>12480.000000000002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98" s="138" customFormat="1" x14ac:dyDescent="0.45">
      <c r="A10" s="138" t="s">
        <v>80</v>
      </c>
      <c r="B10" s="137">
        <f>Dashboard_1!H8*Dashboard_1!H9</f>
        <v>0</v>
      </c>
      <c r="C10" s="139"/>
      <c r="D10" s="136"/>
      <c r="E10" s="136"/>
      <c r="F10" s="136"/>
      <c r="G10" s="136"/>
      <c r="H10" s="140">
        <f>IF(H41&gt;0,((Dashboard_1!$H$54+Dashboard_1!$H$55)*Dashboard_1!$H$6)*Dashboard_1!$H$9,0)</f>
        <v>0</v>
      </c>
      <c r="I10" s="141">
        <f>H10</f>
        <v>0</v>
      </c>
      <c r="J10" s="141">
        <f t="shared" ref="J10:AF10" si="0">I10</f>
        <v>0</v>
      </c>
      <c r="K10" s="141">
        <f t="shared" si="0"/>
        <v>0</v>
      </c>
      <c r="L10" s="141">
        <f t="shared" si="0"/>
        <v>0</v>
      </c>
      <c r="M10" s="141">
        <f t="shared" si="0"/>
        <v>0</v>
      </c>
      <c r="N10" s="141">
        <f t="shared" si="0"/>
        <v>0</v>
      </c>
      <c r="O10" s="141">
        <f t="shared" si="0"/>
        <v>0</v>
      </c>
      <c r="P10" s="141">
        <f t="shared" si="0"/>
        <v>0</v>
      </c>
      <c r="Q10" s="141">
        <f t="shared" si="0"/>
        <v>0</v>
      </c>
      <c r="R10" s="141">
        <f t="shared" si="0"/>
        <v>0</v>
      </c>
      <c r="S10" s="141">
        <f t="shared" si="0"/>
        <v>0</v>
      </c>
      <c r="T10" s="141">
        <f t="shared" si="0"/>
        <v>0</v>
      </c>
      <c r="U10" s="141">
        <f t="shared" si="0"/>
        <v>0</v>
      </c>
      <c r="V10" s="141">
        <f t="shared" si="0"/>
        <v>0</v>
      </c>
      <c r="W10" s="141">
        <f t="shared" si="0"/>
        <v>0</v>
      </c>
      <c r="X10" s="141">
        <f t="shared" si="0"/>
        <v>0</v>
      </c>
      <c r="Y10" s="141">
        <f t="shared" si="0"/>
        <v>0</v>
      </c>
      <c r="Z10" s="141">
        <f t="shared" si="0"/>
        <v>0</v>
      </c>
      <c r="AA10" s="141">
        <f t="shared" si="0"/>
        <v>0</v>
      </c>
      <c r="AB10" s="141">
        <f t="shared" si="0"/>
        <v>0</v>
      </c>
      <c r="AC10" s="141">
        <f t="shared" si="0"/>
        <v>0</v>
      </c>
      <c r="AD10" s="141">
        <f t="shared" si="0"/>
        <v>0</v>
      </c>
      <c r="AE10" s="141">
        <f t="shared" si="0"/>
        <v>0</v>
      </c>
      <c r="AF10" s="141">
        <f t="shared" si="0"/>
        <v>0</v>
      </c>
      <c r="AG10" s="141">
        <f t="shared" ref="AG10" si="1">AF10</f>
        <v>0</v>
      </c>
      <c r="AH10" s="141">
        <f t="shared" ref="AH10" si="2">AG10</f>
        <v>0</v>
      </c>
      <c r="AI10" s="141">
        <f t="shared" ref="AI10" si="3">AH10</f>
        <v>0</v>
      </c>
      <c r="AJ10" s="141">
        <f t="shared" ref="AJ10" si="4">AI10</f>
        <v>0</v>
      </c>
      <c r="AK10" s="141">
        <f t="shared" ref="AK10" si="5">AJ10</f>
        <v>0</v>
      </c>
      <c r="AL10" s="141">
        <f t="shared" ref="AL10" si="6">AK10</f>
        <v>0</v>
      </c>
      <c r="AM10" s="141">
        <f t="shared" ref="AM10" si="7">AL10</f>
        <v>0</v>
      </c>
      <c r="AN10" s="141">
        <f t="shared" ref="AN10" si="8">AM10</f>
        <v>0</v>
      </c>
      <c r="AO10" s="141">
        <f t="shared" ref="AO10" si="9">AN10</f>
        <v>0</v>
      </c>
      <c r="AP10" s="141">
        <f t="shared" ref="AP10" si="10">AO10</f>
        <v>0</v>
      </c>
      <c r="AQ10" s="141">
        <f t="shared" ref="AQ10" si="11">AP10</f>
        <v>0</v>
      </c>
      <c r="AR10" s="141">
        <f t="shared" ref="AR10" si="12">AQ10</f>
        <v>0</v>
      </c>
      <c r="AS10" s="141">
        <f t="shared" ref="AS10" si="13">AR10</f>
        <v>0</v>
      </c>
      <c r="AT10" s="141">
        <f t="shared" ref="AT10" si="14">AS10</f>
        <v>0</v>
      </c>
      <c r="AU10" s="141">
        <f t="shared" ref="AU10" si="15">AT10</f>
        <v>0</v>
      </c>
      <c r="AV10" s="141">
        <f t="shared" ref="AV10" si="16">AU10</f>
        <v>0</v>
      </c>
      <c r="AW10" s="141">
        <f t="shared" ref="AW10" si="17">AV10</f>
        <v>0</v>
      </c>
      <c r="AX10" s="141">
        <f t="shared" ref="AX10" si="18">AW10</f>
        <v>0</v>
      </c>
      <c r="AY10" s="141">
        <f t="shared" ref="AY10" si="19">AX10</f>
        <v>0</v>
      </c>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row>
    <row r="11" spans="1:98" s="138" customFormat="1" x14ac:dyDescent="0.45">
      <c r="A11" s="136" t="str">
        <f>Input_Data!B15</f>
        <v>Soil cost ($/m3)</v>
      </c>
      <c r="B11" s="137">
        <f>Dashboard_1!H6*Dashboard_1!H15*Dashboard_1!H14</f>
        <v>3182.4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98" s="138" customFormat="1" x14ac:dyDescent="0.45">
      <c r="A12" s="136" t="str">
        <f>Input_Data!B13</f>
        <v>Tree protection fencing ($)</v>
      </c>
      <c r="B12" s="134">
        <f>Dashboard_1!H39</f>
        <v>250</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98" s="138" customFormat="1" x14ac:dyDescent="0.45">
      <c r="A13" s="136" t="str">
        <f>Input_Data!B19</f>
        <v>Traffic control cost ($)</v>
      </c>
      <c r="B13" s="134">
        <f>Dashboard_1!H40</f>
        <v>0</v>
      </c>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98" s="138" customFormat="1" x14ac:dyDescent="0.45">
      <c r="A14" s="136" t="s">
        <v>251</v>
      </c>
      <c r="B14" s="142">
        <f>Dashboard_1!H42*Dashboard_1!H41</f>
        <v>0</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98" s="138" customFormat="1" x14ac:dyDescent="0.45">
      <c r="A15" s="136" t="s">
        <v>257</v>
      </c>
      <c r="B15" s="142">
        <f>Dashboard_1!H27*Dashboard_1!H28</f>
        <v>0</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row>
    <row r="16" spans="1:98" s="138" customFormat="1" x14ac:dyDescent="0.45">
      <c r="A16" s="198" t="s">
        <v>81</v>
      </c>
      <c r="B16" s="199">
        <f>SUM(B4:B15,B29)</f>
        <v>38009.756523781332</v>
      </c>
      <c r="C16" s="199">
        <f t="shared" ref="C16:AF16" si="20">SUM(C4:C15)</f>
        <v>0</v>
      </c>
      <c r="D16" s="199">
        <f t="shared" si="20"/>
        <v>0</v>
      </c>
      <c r="E16" s="199">
        <f t="shared" si="20"/>
        <v>0</v>
      </c>
      <c r="F16" s="199">
        <f t="shared" si="20"/>
        <v>0</v>
      </c>
      <c r="G16" s="199">
        <f t="shared" si="20"/>
        <v>0</v>
      </c>
      <c r="H16" s="199">
        <f t="shared" si="20"/>
        <v>0</v>
      </c>
      <c r="I16" s="199">
        <f t="shared" si="20"/>
        <v>0</v>
      </c>
      <c r="J16" s="199">
        <f t="shared" si="20"/>
        <v>0</v>
      </c>
      <c r="K16" s="199">
        <f t="shared" si="20"/>
        <v>0</v>
      </c>
      <c r="L16" s="199">
        <f t="shared" si="20"/>
        <v>0</v>
      </c>
      <c r="M16" s="199">
        <f t="shared" si="20"/>
        <v>0</v>
      </c>
      <c r="N16" s="199">
        <f t="shared" si="20"/>
        <v>0</v>
      </c>
      <c r="O16" s="199">
        <f t="shared" si="20"/>
        <v>0</v>
      </c>
      <c r="P16" s="199">
        <f t="shared" si="20"/>
        <v>0</v>
      </c>
      <c r="Q16" s="199">
        <f t="shared" si="20"/>
        <v>0</v>
      </c>
      <c r="R16" s="199">
        <f t="shared" si="20"/>
        <v>0</v>
      </c>
      <c r="S16" s="199">
        <f t="shared" si="20"/>
        <v>0</v>
      </c>
      <c r="T16" s="199">
        <f t="shared" si="20"/>
        <v>0</v>
      </c>
      <c r="U16" s="199">
        <f t="shared" si="20"/>
        <v>0</v>
      </c>
      <c r="V16" s="199">
        <f t="shared" si="20"/>
        <v>0</v>
      </c>
      <c r="W16" s="199">
        <f t="shared" si="20"/>
        <v>0</v>
      </c>
      <c r="X16" s="199">
        <f t="shared" si="20"/>
        <v>0</v>
      </c>
      <c r="Y16" s="199">
        <f t="shared" si="20"/>
        <v>0</v>
      </c>
      <c r="Z16" s="199">
        <f t="shared" si="20"/>
        <v>0</v>
      </c>
      <c r="AA16" s="199">
        <f t="shared" si="20"/>
        <v>0</v>
      </c>
      <c r="AB16" s="199">
        <f t="shared" si="20"/>
        <v>0</v>
      </c>
      <c r="AC16" s="199">
        <f t="shared" si="20"/>
        <v>0</v>
      </c>
      <c r="AD16" s="199">
        <f t="shared" si="20"/>
        <v>0</v>
      </c>
      <c r="AE16" s="199">
        <f t="shared" si="20"/>
        <v>0</v>
      </c>
      <c r="AF16" s="199">
        <f t="shared" si="20"/>
        <v>0</v>
      </c>
      <c r="AG16" s="199">
        <f t="shared" ref="AG16:AY16" si="21">SUM(AG4:AG15)</f>
        <v>0</v>
      </c>
      <c r="AH16" s="199">
        <f t="shared" si="21"/>
        <v>0</v>
      </c>
      <c r="AI16" s="199">
        <f t="shared" si="21"/>
        <v>0</v>
      </c>
      <c r="AJ16" s="199">
        <f t="shared" si="21"/>
        <v>0</v>
      </c>
      <c r="AK16" s="199">
        <f t="shared" si="21"/>
        <v>0</v>
      </c>
      <c r="AL16" s="199">
        <f t="shared" si="21"/>
        <v>0</v>
      </c>
      <c r="AM16" s="199">
        <f t="shared" si="21"/>
        <v>0</v>
      </c>
      <c r="AN16" s="199">
        <f t="shared" si="21"/>
        <v>0</v>
      </c>
      <c r="AO16" s="199">
        <f t="shared" si="21"/>
        <v>0</v>
      </c>
      <c r="AP16" s="199">
        <f t="shared" si="21"/>
        <v>0</v>
      </c>
      <c r="AQ16" s="199">
        <f t="shared" si="21"/>
        <v>0</v>
      </c>
      <c r="AR16" s="199">
        <f t="shared" si="21"/>
        <v>0</v>
      </c>
      <c r="AS16" s="199">
        <f t="shared" si="21"/>
        <v>0</v>
      </c>
      <c r="AT16" s="199">
        <f t="shared" si="21"/>
        <v>0</v>
      </c>
      <c r="AU16" s="199">
        <f t="shared" si="21"/>
        <v>0</v>
      </c>
      <c r="AV16" s="199">
        <f t="shared" si="21"/>
        <v>0</v>
      </c>
      <c r="AW16" s="199">
        <f t="shared" si="21"/>
        <v>0</v>
      </c>
      <c r="AX16" s="199">
        <f t="shared" si="21"/>
        <v>0</v>
      </c>
      <c r="AY16" s="199">
        <f t="shared" si="21"/>
        <v>0</v>
      </c>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row>
    <row r="17" spans="1:98" s="138" customFormat="1" x14ac:dyDescent="0.45">
      <c r="A17" s="136"/>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row>
    <row r="18" spans="1:98" s="138" customFormat="1" x14ac:dyDescent="0.45">
      <c r="A18" s="144" t="s">
        <v>135</v>
      </c>
      <c r="B18" s="168"/>
      <c r="C18" s="168"/>
      <c r="D18" s="186"/>
      <c r="E18" s="186"/>
      <c r="F18" s="186"/>
      <c r="G18" s="186"/>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row>
    <row r="19" spans="1:98" s="138" customFormat="1" x14ac:dyDescent="0.45">
      <c r="A19" s="136" t="s">
        <v>255</v>
      </c>
      <c r="B19" s="134">
        <f>Dashboard_1!H24*Dashboard_1!H25*Dashboard_1!H6</f>
        <v>4800</v>
      </c>
      <c r="C19" s="134"/>
      <c r="D19" s="134"/>
      <c r="E19" s="134"/>
      <c r="F19" s="134"/>
      <c r="G19" s="134"/>
      <c r="H19" s="136"/>
      <c r="I19" s="136"/>
      <c r="J19" s="136"/>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row>
    <row r="20" spans="1:98" s="138" customFormat="1" x14ac:dyDescent="0.45">
      <c r="A20" s="136" t="s">
        <v>256</v>
      </c>
      <c r="B20" s="134"/>
      <c r="C20" s="134">
        <f>Dashboard_1!H24*Dashboard_1!H26*Dashboard_1!H6</f>
        <v>1600</v>
      </c>
      <c r="D20" s="134">
        <f>C20</f>
        <v>1600</v>
      </c>
      <c r="E20" s="134">
        <f t="shared" ref="E20:AF20" si="22">D20</f>
        <v>1600</v>
      </c>
      <c r="F20" s="134">
        <f t="shared" si="22"/>
        <v>1600</v>
      </c>
      <c r="G20" s="134">
        <f t="shared" si="22"/>
        <v>1600</v>
      </c>
      <c r="H20" s="134">
        <f t="shared" si="22"/>
        <v>1600</v>
      </c>
      <c r="I20" s="134">
        <f t="shared" si="22"/>
        <v>1600</v>
      </c>
      <c r="J20" s="134">
        <f t="shared" si="22"/>
        <v>1600</v>
      </c>
      <c r="K20" s="134">
        <f t="shared" si="22"/>
        <v>1600</v>
      </c>
      <c r="L20" s="134">
        <f t="shared" si="22"/>
        <v>1600</v>
      </c>
      <c r="M20" s="134">
        <f t="shared" si="22"/>
        <v>1600</v>
      </c>
      <c r="N20" s="134">
        <f t="shared" si="22"/>
        <v>1600</v>
      </c>
      <c r="O20" s="134">
        <f t="shared" si="22"/>
        <v>1600</v>
      </c>
      <c r="P20" s="134">
        <f t="shared" si="22"/>
        <v>1600</v>
      </c>
      <c r="Q20" s="134">
        <f t="shared" si="22"/>
        <v>1600</v>
      </c>
      <c r="R20" s="134">
        <f t="shared" si="22"/>
        <v>1600</v>
      </c>
      <c r="S20" s="134">
        <f t="shared" si="22"/>
        <v>1600</v>
      </c>
      <c r="T20" s="134">
        <f t="shared" si="22"/>
        <v>1600</v>
      </c>
      <c r="U20" s="134">
        <f t="shared" si="22"/>
        <v>1600</v>
      </c>
      <c r="V20" s="134">
        <f t="shared" si="22"/>
        <v>1600</v>
      </c>
      <c r="W20" s="134">
        <f t="shared" si="22"/>
        <v>1600</v>
      </c>
      <c r="X20" s="134">
        <f t="shared" si="22"/>
        <v>1600</v>
      </c>
      <c r="Y20" s="134">
        <f t="shared" si="22"/>
        <v>1600</v>
      </c>
      <c r="Z20" s="134">
        <f t="shared" si="22"/>
        <v>1600</v>
      </c>
      <c r="AA20" s="134">
        <f t="shared" si="22"/>
        <v>1600</v>
      </c>
      <c r="AB20" s="134">
        <f t="shared" si="22"/>
        <v>1600</v>
      </c>
      <c r="AC20" s="134">
        <f t="shared" si="22"/>
        <v>1600</v>
      </c>
      <c r="AD20" s="134">
        <f t="shared" si="22"/>
        <v>1600</v>
      </c>
      <c r="AE20" s="134">
        <f t="shared" si="22"/>
        <v>1600</v>
      </c>
      <c r="AF20" s="134">
        <f t="shared" si="22"/>
        <v>1600</v>
      </c>
      <c r="AG20" s="134">
        <f t="shared" ref="AG20:AY20" si="23">AF20</f>
        <v>1600</v>
      </c>
      <c r="AH20" s="134">
        <f t="shared" si="23"/>
        <v>1600</v>
      </c>
      <c r="AI20" s="134">
        <f t="shared" si="23"/>
        <v>1600</v>
      </c>
      <c r="AJ20" s="134">
        <f t="shared" si="23"/>
        <v>1600</v>
      </c>
      <c r="AK20" s="134">
        <f t="shared" si="23"/>
        <v>1600</v>
      </c>
      <c r="AL20" s="134">
        <f t="shared" si="23"/>
        <v>1600</v>
      </c>
      <c r="AM20" s="134">
        <f t="shared" si="23"/>
        <v>1600</v>
      </c>
      <c r="AN20" s="134">
        <f t="shared" si="23"/>
        <v>1600</v>
      </c>
      <c r="AO20" s="134">
        <f t="shared" si="23"/>
        <v>1600</v>
      </c>
      <c r="AP20" s="134">
        <f t="shared" si="23"/>
        <v>1600</v>
      </c>
      <c r="AQ20" s="134">
        <f t="shared" si="23"/>
        <v>1600</v>
      </c>
      <c r="AR20" s="134">
        <f t="shared" si="23"/>
        <v>1600</v>
      </c>
      <c r="AS20" s="134">
        <f t="shared" si="23"/>
        <v>1600</v>
      </c>
      <c r="AT20" s="134">
        <f t="shared" si="23"/>
        <v>1600</v>
      </c>
      <c r="AU20" s="134">
        <f t="shared" si="23"/>
        <v>1600</v>
      </c>
      <c r="AV20" s="134">
        <f t="shared" si="23"/>
        <v>1600</v>
      </c>
      <c r="AW20" s="134">
        <f t="shared" si="23"/>
        <v>1600</v>
      </c>
      <c r="AX20" s="134">
        <f t="shared" si="23"/>
        <v>1600</v>
      </c>
      <c r="AY20" s="134">
        <f t="shared" si="23"/>
        <v>1600</v>
      </c>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row>
    <row r="21" spans="1:98" s="138" customFormat="1" x14ac:dyDescent="0.45">
      <c r="A21" s="136" t="s">
        <v>268</v>
      </c>
      <c r="B21" s="134">
        <f>Dashboard_1!H6*Dashboard_1!H44</f>
        <v>23642.666666666668</v>
      </c>
      <c r="C21" s="134"/>
      <c r="D21" s="134"/>
      <c r="E21" s="134"/>
      <c r="F21" s="134"/>
      <c r="G21" s="134"/>
      <c r="H21" s="136"/>
      <c r="I21" s="136"/>
      <c r="J21" s="136"/>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row>
    <row r="22" spans="1:98" s="138" customFormat="1" x14ac:dyDescent="0.45">
      <c r="A22" s="136" t="s">
        <v>269</v>
      </c>
      <c r="B22" s="134"/>
      <c r="C22" s="134">
        <f>Dashboard_1!H6*Dashboard_1!H45</f>
        <v>6240.0000000000009</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row>
    <row r="23" spans="1:98" s="138" customFormat="1" x14ac:dyDescent="0.45">
      <c r="A23" s="136" t="s">
        <v>266</v>
      </c>
      <c r="B23" s="134"/>
      <c r="C23" s="134"/>
      <c r="D23" s="134">
        <f>Dashboard_1!H6*Dashboard_1!H46</f>
        <v>4680</v>
      </c>
      <c r="E23" s="134">
        <f>D23</f>
        <v>4680</v>
      </c>
      <c r="F23" s="134">
        <f t="shared" ref="F23:AE23" si="24">E23</f>
        <v>4680</v>
      </c>
      <c r="G23" s="134">
        <f t="shared" si="24"/>
        <v>4680</v>
      </c>
      <c r="H23" s="134">
        <f t="shared" si="24"/>
        <v>4680</v>
      </c>
      <c r="I23" s="134">
        <f t="shared" si="24"/>
        <v>4680</v>
      </c>
      <c r="J23" s="134">
        <f t="shared" si="24"/>
        <v>4680</v>
      </c>
      <c r="K23" s="134">
        <f t="shared" si="24"/>
        <v>4680</v>
      </c>
      <c r="L23" s="134">
        <f t="shared" si="24"/>
        <v>4680</v>
      </c>
      <c r="M23" s="134">
        <f t="shared" si="24"/>
        <v>4680</v>
      </c>
      <c r="N23" s="134">
        <f t="shared" si="24"/>
        <v>4680</v>
      </c>
      <c r="O23" s="134">
        <f t="shared" si="24"/>
        <v>4680</v>
      </c>
      <c r="P23" s="134">
        <f t="shared" si="24"/>
        <v>4680</v>
      </c>
      <c r="Q23" s="134">
        <f t="shared" si="24"/>
        <v>4680</v>
      </c>
      <c r="R23" s="134">
        <f t="shared" si="24"/>
        <v>4680</v>
      </c>
      <c r="S23" s="134">
        <f t="shared" si="24"/>
        <v>4680</v>
      </c>
      <c r="T23" s="134">
        <f t="shared" si="24"/>
        <v>4680</v>
      </c>
      <c r="U23" s="134">
        <f t="shared" si="24"/>
        <v>4680</v>
      </c>
      <c r="V23" s="134">
        <f t="shared" si="24"/>
        <v>4680</v>
      </c>
      <c r="W23" s="134">
        <f t="shared" si="24"/>
        <v>4680</v>
      </c>
      <c r="X23" s="134">
        <f t="shared" si="24"/>
        <v>4680</v>
      </c>
      <c r="Y23" s="134">
        <f t="shared" si="24"/>
        <v>4680</v>
      </c>
      <c r="Z23" s="134">
        <f t="shared" si="24"/>
        <v>4680</v>
      </c>
      <c r="AA23" s="134">
        <f t="shared" si="24"/>
        <v>4680</v>
      </c>
      <c r="AB23" s="134">
        <f t="shared" si="24"/>
        <v>4680</v>
      </c>
      <c r="AC23" s="134">
        <f t="shared" si="24"/>
        <v>4680</v>
      </c>
      <c r="AD23" s="134">
        <f t="shared" si="24"/>
        <v>4680</v>
      </c>
      <c r="AE23" s="134">
        <f t="shared" si="24"/>
        <v>4680</v>
      </c>
      <c r="AF23" s="134">
        <f>AE23</f>
        <v>4680</v>
      </c>
      <c r="AG23" s="134">
        <f t="shared" ref="AG23:AY23" si="25">AF23</f>
        <v>4680</v>
      </c>
      <c r="AH23" s="134">
        <f t="shared" si="25"/>
        <v>4680</v>
      </c>
      <c r="AI23" s="134">
        <f t="shared" si="25"/>
        <v>4680</v>
      </c>
      <c r="AJ23" s="134">
        <f t="shared" si="25"/>
        <v>4680</v>
      </c>
      <c r="AK23" s="134">
        <f t="shared" si="25"/>
        <v>4680</v>
      </c>
      <c r="AL23" s="134">
        <f t="shared" si="25"/>
        <v>4680</v>
      </c>
      <c r="AM23" s="134">
        <f t="shared" si="25"/>
        <v>4680</v>
      </c>
      <c r="AN23" s="134">
        <f t="shared" si="25"/>
        <v>4680</v>
      </c>
      <c r="AO23" s="134">
        <f t="shared" si="25"/>
        <v>4680</v>
      </c>
      <c r="AP23" s="134">
        <f t="shared" si="25"/>
        <v>4680</v>
      </c>
      <c r="AQ23" s="134">
        <f t="shared" si="25"/>
        <v>4680</v>
      </c>
      <c r="AR23" s="134">
        <f t="shared" si="25"/>
        <v>4680</v>
      </c>
      <c r="AS23" s="134">
        <f t="shared" si="25"/>
        <v>4680</v>
      </c>
      <c r="AT23" s="134">
        <f t="shared" si="25"/>
        <v>4680</v>
      </c>
      <c r="AU23" s="134">
        <f t="shared" si="25"/>
        <v>4680</v>
      </c>
      <c r="AV23" s="134">
        <f t="shared" si="25"/>
        <v>4680</v>
      </c>
      <c r="AW23" s="134">
        <f t="shared" si="25"/>
        <v>4680</v>
      </c>
      <c r="AX23" s="134">
        <f t="shared" si="25"/>
        <v>4680</v>
      </c>
      <c r="AY23" s="134">
        <f t="shared" si="25"/>
        <v>4680</v>
      </c>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row>
    <row r="24" spans="1:98" s="138" customFormat="1" x14ac:dyDescent="0.45">
      <c r="A24" s="136" t="s">
        <v>267</v>
      </c>
      <c r="B24" s="134">
        <f>IF(Dashboard_1!$H$49=Data_Lists!M2,Dashboard_1!$H$47*Dashboard_1!$H$48,IF(Dashboard_1!$H$49=Data_Lists!M3,0,IF(Dashboard_1!$H$49=Data_Lists!M4,0,IF(Dashboard_1!$H$49=Data_Lists!M5,0,IF(Dashboard_1!$H$49=Data_Lists!M6,0,IF(Dashboard_1!$H$49=Data_Lists!M7,0))))))</f>
        <v>500</v>
      </c>
      <c r="C24" s="134">
        <f>IF(Dashboard_1!$H$49=Data_Lists!M2,Dashboard_1!$H$47*Dashboard_1!$H$48,IF(Dashboard_1!$H$49=Data_Lists!M3,Dashboard_1!$H$47*Dashboard_1!$H$48,IF(Dashboard_1!$H$49=Data_Lists!M4,0,IF(Dashboard_1!$H$49=Data_Lists!M5,0,IF(Dashboard_1!$H$49=Data_Lists!M6,0,IF(Dashboard_1!$H$49=Data_Lists!M7,0))))))</f>
        <v>500</v>
      </c>
      <c r="D24" s="134">
        <f>IF(Dashboard_1!$H$49=Data_Lists!M2,Dashboard_1!$H$47*Dashboard_1!$H$48,IF(Dashboard_1!$H$49=Data_Lists!M3,0,IF(Dashboard_1!$H$49=Data_Lists!M4,Dashboard_1!$H$47*Dashboard_1!$H$48,IF(Dashboard_1!$H$49=Data_Lists!M5,0,IF(Dashboard_1!$H$49=Data_Lists!M6,0,IF(Dashboard_1!$H$49=Data_Lists!M7,0))))))</f>
        <v>500</v>
      </c>
      <c r="E24" s="134">
        <f>IF(Dashboard_1!$H$49=Data_Lists!M2,Dashboard_1!$H$47*Dashboard_1!$H$48,IF(Dashboard_1!$H$49=Data_Lists!M3,Dashboard_1!$H$47*Dashboard_1!$H$48,IF(Dashboard_1!$H$49=Data_Lists!M4,0,IF(Dashboard_1!$H$49=Data_Lists!M5,Dashboard_1!$H$47*Dashboard_1!$H$48,IF(Dashboard_1!$H$49=Data_Lists!M6,0,IF(Dashboard_1!$H$49=Data_Lists!M7,0))))))</f>
        <v>500</v>
      </c>
      <c r="F24" s="134">
        <f>IF(Dashboard_1!$H$49=Data_Lists!M2,Dashboard_1!$H$47*Dashboard_1!$H$48,IF(Dashboard_1!$H$49=Data_Lists!M3,0,IF(Dashboard_1!$H$49=Data_Lists!M4,0,IF(Dashboard_1!$H$49=Data_Lists!M5,0,IF(Dashboard_1!$H$49=Data_Lists!M6,Dashboard_1!$H$47*Dashboard_1!$H$48,IF(Dashboard_1!$H$49=Data_Lists!M7,0))))))</f>
        <v>500</v>
      </c>
      <c r="G24" s="134">
        <f>IF(Dashboard_1!$H$49=Data_Lists!M2,Dashboard_1!$H$47*Dashboard_1!$H$48,IF(Dashboard_1!$H$49=Data_Lists!M3,Dashboard_1!$H$47*Dashboard_1!$H$48,IF(Dashboard_1!$H$49=Data_Lists!M4,Dashboard_1!$H$47*Dashboard_1!$H$48,IF(Dashboard_1!$H$49=Data_Lists!M5,0,IF(Dashboard_1!$H$49=Data_Lists!M6,0,IF(Dashboard_1!$H$49=Data_Lists!M7,0))))))</f>
        <v>500</v>
      </c>
      <c r="H24" s="134">
        <f>IF(Dashboard_1!$H$49=Data_Lists!M2,Dashboard_1!$H$47*Dashboard_1!$H$48,IF(Dashboard_1!$H$49=Data_Lists!M3,0,IF(Dashboard_1!$H$49=Data_Lists!M4,0,IF(Dashboard_1!$H$49=Data_Lists!M5,0,IF(Dashboard_1!$H$49=Data_Lists!M6,0,IF(Dashboard_1!$H$49=Data_Lists!M7,0))))))</f>
        <v>500</v>
      </c>
      <c r="I24" s="134">
        <f>IF(Dashboard_1!$H$49=Data_Lists!M2,Dashboard_1!$H$47*Dashboard_1!$H$48,IF(Dashboard_1!$H$49=Data_Lists!M3,Dashboard_1!$H$47*Dashboard_1!$H$48,IF(Dashboard_1!$H$49=Data_Lists!M4,0,IF(Dashboard_1!$H$49=Data_Lists!M5,Dashboard_1!$H$47*Dashboard_1!$H$48,IF(Dashboard_1!$H$49=Data_Lists!M6,0,IF(Dashboard_1!$H$49=Data_Lists!M7,0))))))</f>
        <v>500</v>
      </c>
      <c r="J24" s="134">
        <f>IF(Dashboard_1!$H$49=Data_Lists!M2,Dashboard_1!$H$47*Dashboard_1!$H$48,IF(Dashboard_1!$H$49=Data_Lists!M3,0,IF(Dashboard_1!$H$49=Data_Lists!M4,Dashboard_1!$H$47*Dashboard_1!$H$48,IF(Dashboard_1!$H$49=Data_Lists!M5,0,IF(Dashboard_1!$H$49=Data_Lists!M6,0,IF(Dashboard_1!$H$49=Data_Lists!M7,0))))))</f>
        <v>500</v>
      </c>
      <c r="K24" s="134">
        <f>IF(Dashboard_1!$H$49=Data_Lists!M2,Dashboard_1!$H$47*Dashboard_1!$H$48,IF(Dashboard_1!$H$49=Data_Lists!M3,0,IF(Dashboard_1!$H$49=Data_Lists!M4,0,IF(Dashboard_1!$H$49=Data_Lists!M5,0,IF(Dashboard_1!$H$49=Data_Lists!M6,0,IF(Dashboard_1!$H$49=Data_Lists!M7,0))))))</f>
        <v>500</v>
      </c>
      <c r="L24" s="134">
        <f>IF(Dashboard_1!$H$49=Data_Lists!M2,Dashboard_1!$H$47*Dashboard_1!$H$48,IF(Dashboard_1!$H$49=Data_Lists!M3,Dashboard_1!$H$47*Dashboard_1!$H$48,IF(Dashboard_1!$H$49=Data_Lists!M4,0,IF(Dashboard_1!$H$49=Data_Lists!M5,0,IF(Dashboard_1!$H$49=Data_Lists!M6,0,IF(Dashboard_1!$H$49=Data_Lists!M7,0))))))</f>
        <v>500</v>
      </c>
      <c r="M24" s="134">
        <f>IF(Dashboard_1!$H$49=Data_Lists!M2,Dashboard_1!$H$47*Dashboard_1!$H$48,IF(Dashboard_1!$H$49=Data_Lists!M3,0,IF(Dashboard_1!$H$49=Data_Lists!M4,Dashboard_1!$H$47*Dashboard_1!$H$48,IF(Dashboard_1!$H$49=Data_Lists!M5,0,IF(Dashboard_1!$H$49=Data_Lists!M6,0,IF(Dashboard_1!$H$49=Data_Lists!M7,0))))))</f>
        <v>500</v>
      </c>
      <c r="N24" s="134">
        <f>IF(Dashboard_1!$H$49=Data_Lists!M2,Dashboard_1!$H$47*Dashboard_1!$H$48,IF(Dashboard_1!$H$49=Data_Lists!M3,Dashboard_1!$H$47*Dashboard_1!$H$48,IF(Dashboard_1!$H$49=Data_Lists!M4,0,IF(Dashboard_1!$H$49=Data_Lists!M5,Dashboard_1!$H$47*Dashboard_1!$H$48,IF(Dashboard_1!$H$49=Data_Lists!M6,0,IF(Dashboard_1!$H$49=Data_Lists!M7,0))))))</f>
        <v>500</v>
      </c>
      <c r="O24" s="134">
        <f>IF(Dashboard_1!$H$49=Data_Lists!M2,Dashboard_1!$H$47*Dashboard_1!$H$48,IF(Dashboard_1!$H$49=Data_Lists!M3,0,IF(Dashboard_1!$H$49=Data_Lists!M4,0,IF(Dashboard_1!$H$49=Data_Lists!M5,0,IF(Dashboard_1!$H$49=Data_Lists!M6,Dashboard_1!$H$47*Dashboard_1!$H$48,IF(Dashboard_1!$H$49=Data_Lists!M7,0))))))</f>
        <v>500</v>
      </c>
      <c r="P24" s="134">
        <f>IF(Dashboard_1!$H$49=Data_Lists!M2,Dashboard_1!$H$47*Dashboard_1!$H$48,IF(Dashboard_1!$H$49=Data_Lists!M3,Dashboard_1!$H$47*Dashboard_1!$H$48,IF(Dashboard_1!$H$49=Data_Lists!M4,Dashboard_1!$H$47*Dashboard_1!$H$48,IF(Dashboard_1!$H$49=Data_Lists!M5,0,IF(Dashboard_1!$H$49=Data_Lists!M6,0,IF(Dashboard_1!$H$49=Data_Lists!M7,0))))))</f>
        <v>500</v>
      </c>
      <c r="Q24" s="134">
        <f>IF(Dashboard_1!$H$49=Data_Lists!M2,Dashboard_1!$H$47*Dashboard_1!$H$48,IF(Dashboard_1!$H$49=Data_Lists!M3,0,IF(Dashboard_1!$H$49=Data_Lists!M4,0,IF(Dashboard_1!$H$49=Data_Lists!M5,0,IF(Dashboard_1!$H$49=Data_Lists!M6,0,IF(Dashboard_1!$H$49=Data_Lists!M7,0))))))</f>
        <v>500</v>
      </c>
      <c r="R24" s="134">
        <f>IF(Dashboard_1!$H$49=Data_Lists!M2,Dashboard_1!$H$47*Dashboard_1!$H$48,IF(Dashboard_1!$H$49=Data_Lists!M3,Dashboard_1!$H$47*Dashboard_1!$H$48,IF(Dashboard_1!$H$49=Data_Lists!M4,0,IF(Dashboard_1!$H$49=Data_Lists!M5,Dashboard_1!$H$47*Dashboard_1!$H$48,IF(Dashboard_1!$H$49=Data_Lists!M6,0,IF(Dashboard_1!$H$49=Data_Lists!M7,0))))))</f>
        <v>500</v>
      </c>
      <c r="S24" s="134">
        <f>IF(Dashboard_1!$H$49=Data_Lists!M2,Dashboard_1!$H$47*Dashboard_1!$H$48,IF(Dashboard_1!$H$49=Data_Lists!M3,0,IF(Dashboard_1!$H$49=Data_Lists!M4,Dashboard_1!$H$47*Dashboard_1!$H$48,IF(Dashboard_1!$H$49=Data_Lists!M5,0,IF(Dashboard_1!$H$49=Data_Lists!M6,0,IF(Dashboard_1!$H$49=Data_Lists!M7,0))))))</f>
        <v>500</v>
      </c>
      <c r="T24" s="134">
        <f>IF(Dashboard_1!$H$49=Data_Lists!M2,Dashboard_1!$H$47*Dashboard_1!$H$48,IF(Dashboard_1!$H$49=Data_Lists!M3,Dashboard_1!$H$47*Dashboard_1!$H$48,IF(Dashboard_1!$H$49=Data_Lists!M4,0,IF(Dashboard_1!$H$49=Data_Lists!M5,0,IF(Dashboard_1!$H$49=Data_Lists!M6,Dashboard_1!$H$47*Dashboard_1!$H$48,IF(Dashboard_1!$H$49=Data_Lists!M7,0))))))</f>
        <v>500</v>
      </c>
      <c r="U24" s="134">
        <f>IF(Dashboard_1!$H$49=Data_Lists!M2,Dashboard_1!$H$47*Dashboard_1!$H$48,IF(Dashboard_1!$H$49=Data_Lists!M3,0,IF(Dashboard_1!$H$49=Data_Lists!M4,0,IF(Dashboard_1!$H$49=Data_Lists!M5,0,IF(Dashboard_1!$H$49=Data_Lists!M6,0,IF(Dashboard_1!$H$49=Data_Lists!M7,0))))))</f>
        <v>500</v>
      </c>
      <c r="V24" s="134">
        <f>IF(Dashboard_1!$H$49=Data_Lists!M2,Dashboard_1!$H$47*Dashboard_1!$H$48,IF(Dashboard_1!$H$49=Data_Lists!M3,Dashboard_1!$H$47*Dashboard_1!$H$48,IF(Dashboard_1!$H$49=Data_Lists!M4,Dashboard_1!$H$47*Dashboard_1!$H$48,IF(Dashboard_1!$H$49=Data_Lists!M5,Dashboard_1!$H$47*Dashboard_1!$H$48,IF(Dashboard_1!$H$49=Data_Lists!M6,0,IF(Dashboard_1!$H$49=Data_Lists!M7,0))))))</f>
        <v>500</v>
      </c>
      <c r="W24" s="134">
        <f>IF(Dashboard_1!$H$49=Data_Lists!M2,Dashboard_1!$H$47*Dashboard_1!$H$48,IF(Dashboard_1!$H$49=Data_Lists!M3,0,IF(Dashboard_1!$H$49=Data_Lists!M4,0,IF(Dashboard_1!$H$49=Data_Lists!M5,0,IF(Dashboard_1!$H$49=Data_Lists!M6,0,IF(Dashboard_1!$H$49=Data_Lists!M7,0))))))</f>
        <v>500</v>
      </c>
      <c r="X24" s="134">
        <f>IF(Dashboard_1!$H$49=Data_Lists!M2,Dashboard_1!$H$47*Dashboard_1!$H$48,IF(Dashboard_1!$H$49=Data_Lists!M3,Dashboard_1!$H$47*Dashboard_1!$H$48,IF(Dashboard_1!$H$49=Data_Lists!M4,0,IF(Dashboard_1!$H$49=Data_Lists!M5,0,IF(Dashboard_1!$H$49=Data_Lists!M6,0,IF(Dashboard_1!$H$49=Data_Lists!M7,0))))))</f>
        <v>500</v>
      </c>
      <c r="Y24" s="134">
        <f>IF(Dashboard_1!$H$49=Data_Lists!M2,Dashboard_1!$H$47*Dashboard_1!$H$48,IF(Dashboard_1!$H$49=Data_Lists!M3,0,IF(Dashboard_1!$H$49=Data_Lists!M4,Dashboard_1!$H$47*Dashboard_1!$H$48,IF(Dashboard_1!$H$49=Data_Lists!M5,0,IF(Dashboard_1!$H$49=Data_Lists!M6,Dashboard_1!$H$47*Dashboard_1!$H$48,IF(Dashboard_1!$H$49=Data_Lists!M7,0))))))</f>
        <v>500</v>
      </c>
      <c r="Z24" s="134">
        <f>IF(Dashboard_1!$H$49=Data_Lists!M2,Dashboard_1!$H$47*Dashboard_1!$H$48,IF(Dashboard_1!$H$49=Data_Lists!M3,Dashboard_1!$H$47*Dashboard_1!$H$48,IF(Dashboard_1!$H$49=Data_Lists!M4,0,IF(Dashboard_1!$H$49=Data_Lists!M5,Dashboard_1!$H$47*Dashboard_1!$H$48,IF(Dashboard_1!$H$49=Data_Lists!M6,0,IF(Dashboard_1!$H$49=Data_Lists!M7,0))))))</f>
        <v>500</v>
      </c>
      <c r="AA24" s="134">
        <f>IF(Dashboard_1!$H$49=Data_Lists!M2,Dashboard_1!$H$47*Dashboard_1!$H$48,IF(Dashboard_1!$H$49=Data_Lists!M3,0,IF(Dashboard_1!$H$49=Data_Lists!M4,0,IF(Dashboard_1!$H$49=Data_Lists!M5,0,IF(Dashboard_1!$H$49=Data_Lists!M6,0,IF(Dashboard_1!$H$49=Data_Lists!M7,0))))))</f>
        <v>500</v>
      </c>
      <c r="AB24" s="134">
        <f>IF(Dashboard_1!$H$49=Data_Lists!M2,Dashboard_1!$H$47*Dashboard_1!$H$48,IF(Dashboard_1!$H$49=Data_Lists!M3,Dashboard_1!$H$47*Dashboard_1!$H$48,IF(Dashboard_1!$H$49=Data_Lists!M4,Dashboard_1!$H$47*Dashboard_1!$H$48,IF(Dashboard_1!$H$49=Data_Lists!M5,0,IF(Dashboard_1!$H$49=Data_Lists!M6,0,IF(Dashboard_1!$H$49=Data_Lists!M7,0))))))</f>
        <v>500</v>
      </c>
      <c r="AC24" s="134">
        <f>IF(Dashboard_1!$H$49=Data_Lists!M2,Dashboard_1!$H$47*Dashboard_1!$H$48,IF(Dashboard_1!$H$49=Data_Lists!M3,0,IF(Dashboard_1!$H$49=Data_Lists!M4,0,IF(Dashboard_1!$H$49=Data_Lists!M5,0,IF(Dashboard_1!$H$49=Data_Lists!M6,0,IF(Dashboard_1!$H$49=Data_Lists!M7,0))))))</f>
        <v>500</v>
      </c>
      <c r="AD24" s="134">
        <f>IF(Dashboard_1!$H$49=Data_Lists!M2,Dashboard_1!$H$47*Dashboard_1!$H$48,IF(Dashboard_1!$H$49=Data_Lists!M3,Dashboard_1!$H$47*Dashboard_1!$H$48,IF(Dashboard_1!$H$49=Data_Lists!M4,,IF(Dashboard_1!$H$49=Data_Lists!M5,Dashboard_1!$H$47*Dashboard_1!$H$48,IF(Dashboard_1!$H$49=Data_Lists!M6,Dashboard_1!$H$47*Dashboard_1!$H$48,IF(Dashboard_1!$H$49=Data_Lists!M7,0))))))</f>
        <v>500</v>
      </c>
      <c r="AE24" s="134">
        <f>IF(Dashboard_1!$H$49=Data_Lists!M2,Dashboard_1!$H$47*Dashboard_1!$H$48,IF(Dashboard_1!$H$49=Data_Lists!M3,0,IF(Dashboard_1!$H$49=Data_Lists!M4,Dashboard_1!$H$47*Dashboard_1!$H$48,IF(Dashboard_1!$H$49=Data_Lists!M5,0,IF(Dashboard_1!$H$49=Data_Lists!M6,0,IF(Dashboard_1!$H$49=Data_Lists!M7,0))))))</f>
        <v>500</v>
      </c>
      <c r="AF24" s="134">
        <f>IF(Dashboard_1!$H$49=Data_Lists!M2,Dashboard_1!$H$47*Dashboard_1!$H$48,IF(Dashboard_1!$H$49=Data_Lists!M3,Dashboard_1!$H$47*Dashboard_1!$H$48,IF(Dashboard_1!$H$49=Data_Lists!M4,0,IF(Dashboard_1!$H$49=Data_Lists!M5,0,IF(Dashboard_1!$H$49=Data_Lists!M6,0,IF(Dashboard_1!$H$49=Data_Lists!M7,0))))))</f>
        <v>500</v>
      </c>
      <c r="AG24" s="134">
        <f>IF(Dashboard_1!$H$49=Data_Lists!M2,Dashboard_1!$H$47*Dashboard_1!$H$48,IF(Dashboard_1!$H$49=Data_Lists!M3,0,IF(Dashboard_1!$H$49=Data_Lists!M4,0,IF(Dashboard_1!$H$49=Data_Lists!M5,0,IF(Dashboard_1!$H$49=Data_Lists!M6,0,IF(Dashboard_1!$H$49=Data_Lists!M7,0))))))</f>
        <v>500</v>
      </c>
      <c r="AH24" s="134">
        <f>IF(Dashboard_1!$H$49=Data_Lists!M2,Dashboard_1!$H$47*Dashboard_1!$H$48,IF(Dashboard_1!$H$49=Data_Lists!M3,Dashboard_1!$H$47*Dashboard_1!$H$48,IF(Dashboard_1!$H$49=Data_Lists!M4,Dashboard_1!$H$47*Dashboard_1!$H$48,IF(Dashboard_1!$H$49=Data_Lists!M5,Dashboard_1!$H$47*Dashboard_1!$H$48,IF(Dashboard_1!$H$49=Data_Lists!M6,0,IF(Dashboard_1!$H$49=Data_Lists!M7,0))))))</f>
        <v>500</v>
      </c>
      <c r="AI24" s="134">
        <f>IF(Dashboard_1!$H$49=Data_Lists!M2,Dashboard_1!$H$47*Dashboard_1!$H$48,IF(Dashboard_1!$H$49=Data_Lists!M3,0,IF(Dashboard_1!$H$49=Data_Lists!M4,0,IF(Dashboard_1!$H$49=Data_Lists!M5,0,IF(Dashboard_1!$H$49=Data_Lists!M6,Dashboard_1!$H$47*Dashboard_1!$H$48,IF(Dashboard_1!$H$49=Data_Lists!M7,0))))))</f>
        <v>500</v>
      </c>
      <c r="AJ24" s="134">
        <f>IF(Dashboard_1!$H$49=Data_Lists!M2,Dashboard_1!$H$47*Dashboard_1!$H$48,IF(Dashboard_1!$H$49=Data_Lists!M3,Dashboard_1!$H$47*Dashboard_1!$H$48,IF(Dashboard_1!$H$49=Data_Lists!M4,0,IF(Dashboard_1!$H$49=Data_Lists!M5,0,IF(Dashboard_1!$H$49=Data_Lists!M6,0,IF(Dashboard_1!$H$49=Data_Lists!M7,0))))))</f>
        <v>500</v>
      </c>
      <c r="AK24" s="134">
        <f>IF(Dashboard_1!$H$49=Data_Lists!M2,Dashboard_1!$H$47*Dashboard_1!$H$48,IF(Dashboard_1!$H$49=Data_Lists!M3,0,IF(Dashboard_1!$H$49=Data_Lists!M4,Dashboard_1!$H$47*Dashboard_1!$H$48,IF(Dashboard_1!$H$49=Data_Lists!M5,0,IF(Dashboard_1!$H$49=Data_Lists!M6,0,IF(Dashboard_1!$H$49=Data_Lists!M7,0))))))</f>
        <v>500</v>
      </c>
      <c r="AL24" s="134">
        <f>IF(Dashboard_1!$H$49=Data_Lists!M2,Dashboard_1!$H$47*Dashboard_1!$H$48,IF(Dashboard_1!$H$49=Data_Lists!M3,Dashboard_1!$H$47*Dashboard_1!$H$48,IF(Dashboard_1!$H$49=Data_Lists!M4,0,IF(Dashboard_1!$H$49=Data_Lists!M5,Dashboard_1!$H$47*Dashboard_1!$H$48,IF(Dashboard_1!$H$49=Data_Lists!M6,0,IF(Dashboard_1!$H$49=Data_Lists!M7,0))))))</f>
        <v>500</v>
      </c>
      <c r="AM24" s="134">
        <f>IF(Dashboard_1!$H$49=Data_Lists!M2,Dashboard_1!$H$47*Dashboard_1!$H$48,IF(Dashboard_1!$H$49=Data_Lists!M3,0,IF(Dashboard_1!$H$49=Data_Lists!M4,0,IF(Dashboard_1!$H$49=Data_Lists!M5,0,IF(Dashboard_1!$H$49=Data_Lists!M6,0,IF(Dashboard_1!$H$49=Data_Lists!M7,0))))))</f>
        <v>500</v>
      </c>
      <c r="AN24" s="134">
        <f>IF(Dashboard_1!$H$49=Data_Lists!M2,Dashboard_1!$H$47*Dashboard_1!$H$48,IF(Dashboard_1!$H$49=Data_Lists!M3,Dashboard_1!$H$47*Dashboard_1!$H$48,IF(Dashboard_1!$H$49=Data_Lists!M4,Dashboard_1!$H$47*Dashboard_1!$H$48,IF(Dashboard_1!$H$49=Data_Lists!M5,0,IF(Dashboard_1!$H$49=Data_Lists!M6,Dashboard_1!$H$47*Dashboard_1!$H$48,IF(Dashboard_1!$H$49=Data_Lists!M7,0))))))</f>
        <v>500</v>
      </c>
      <c r="AO24" s="134">
        <f>IF(Dashboard_1!$H$49=Data_Lists!M2,Dashboard_1!$H$47*Dashboard_1!$H$48,IF(Dashboard_1!$H$49=Data_Lists!M3,0,IF(Dashboard_1!$H$49=Data_Lists!M4,0,IF(Dashboard_1!$H$49=Data_Lists!M5,0,IF(Dashboard_1!$H$49=Data_Lists!M6,0,IF(Dashboard_1!$H$49=Data_Lists!M7,0))))))</f>
        <v>500</v>
      </c>
      <c r="AP24" s="134">
        <f>IF(Dashboard_1!$H$49=Data_Lists!M2,Dashboard_1!$H$47*Dashboard_1!$H$48,IF(Dashboard_1!$H$49=Data_Lists!M3,Dashboard_1!$H$47*Dashboard_1!$H$48,IF(Dashboard_1!$H$49=Data_Lists!M4,0,IF(Dashboard_1!$H$49=Data_Lists!M5,0,IF(Dashboard_1!$H$49=Data_Lists!M6,0,IF(Dashboard_1!$H$49=Data_Lists!M7,0))))))</f>
        <v>500</v>
      </c>
      <c r="AQ24" s="134">
        <f>IF(Dashboard_1!$H$49=Data_Lists!M2,Dashboard_1!$H$47*Dashboard_1!$H$48,IF(Dashboard_1!$H$49=Data_Lists!M3,0,IF(Dashboard_1!$H$49=Data_Lists!M4,Dashboard_1!$H$47*Dashboard_1!$H$48,IF(Dashboard_1!$H$49=Data_Lists!M5,0,IF(Dashboard_1!$H$49=Data_Lists!M6,0,IF(Dashboard_1!$H$49=Data_Lists!M7,0))))))</f>
        <v>500</v>
      </c>
      <c r="AR24" s="134">
        <f>IF(Dashboard_1!$H$49=Data_Lists!M2,Dashboard_1!$H$47*Dashboard_1!$H$48,IF(Dashboard_1!$H$49=Data_Lists!M3,Dashboard_1!$H$47*Dashboard_1!$H$48,IF(Dashboard_1!$H$49=Data_Lists!M4,0,IF(Dashboard_1!$H$49=Data_Lists!M5,Dashboard_1!$H$47*Dashboard_1!$H$48,IF(Dashboard_1!$H$49=Data_Lists!M6,0,IF(Dashboard_1!$H$49=Data_Lists!M7,0))))))</f>
        <v>500</v>
      </c>
      <c r="AS24" s="134">
        <f>IF(Dashboard_1!$H$49=Data_Lists!M2,Dashboard_1!$H$47*Dashboard_1!$H$48,IF(Dashboard_1!$H$49=Data_Lists!M3,0,IF(Dashboard_1!$H$49=Data_Lists!M4,0,IF(Dashboard_1!$H$49=Data_Lists!M5,0,IF(Dashboard_1!$H$49=Data_Lists!M6,Dashboard_1!$H$47*Dashboard_1!$H$48,IF(Dashboard_1!$H$49=Data_Lists!M7,0))))))</f>
        <v>500</v>
      </c>
      <c r="AT24" s="134">
        <f>IF(Dashboard_1!$H$49=Data_Lists!M2,Dashboard_1!$H$47*Dashboard_1!$H$48,IF(Dashboard_1!$H$49=Data_Lists!M3,Dashboard_1!$H$47*Dashboard_1!$H$48,IF(Dashboard_1!$H$49=Data_Lists!M4,Dashboard_1!$H$47*Dashboard_1!$H$48,IF(Dashboard_1!$H$49=Data_Lists!M5,0,IF(Dashboard_1!$H$49=Data_Lists!M6,0,IF(Dashboard_1!$H$49=Data_Lists!M7,0))))))</f>
        <v>500</v>
      </c>
      <c r="AU24" s="134">
        <f>IF(Dashboard_1!$H$49=Data_Lists!M2,Dashboard_1!$H$47*Dashboard_1!$H$48,IF(Dashboard_1!$H$49=Data_Lists!M3,0,IF(Dashboard_1!$H$49=Data_Lists!M4,0,IF(Dashboard_1!$H$49=Data_Lists!M5,0,IF(Dashboard_1!$H$49=Data_Lists!M6,0,IF(Dashboard_1!$H$49=Data_Lists!M7,0))))))</f>
        <v>500</v>
      </c>
      <c r="AV24" s="134">
        <f>IF(Dashboard_1!$H$49=Data_Lists!M2,Dashboard_1!$H$47*Dashboard_1!$H$48,IF(Dashboard_1!$H$49=Data_Lists!M3,Dashboard_1!$H$47*Dashboard_1!$H$48,IF(Dashboard_1!$H$49=Data_Lists!M4,0,IF(Dashboard_1!$H$49=Data_Lists!M5,Dashboard_1!$H$47*Dashboard_1!$H$48,IF(Dashboard_1!$H$49=Data_Lists!M6,0,IF(Dashboard_1!$H$49=Data_Lists!M7,0))))))</f>
        <v>500</v>
      </c>
      <c r="AW24" s="134">
        <f>IF(Dashboard_1!$H$49=Data_Lists!M2,Dashboard_1!$H$47*Dashboard_1!$H$48,IF(Dashboard_1!$H$49=Data_Lists!M3,0,IF(Dashboard_1!$H$49=Data_Lists!M4,Dashboard_1!$H$47*Dashboard_1!$H$48,IF(Dashboard_1!$H$49=Data_Lists!M5,0,IF(Dashboard_1!$H$49=Data_Lists!M6,0,IF(Dashboard_1!$H$49=Data_Lists!M7,0))))))</f>
        <v>500</v>
      </c>
      <c r="AX24" s="134">
        <f>IF(Dashboard_1!$H$49=Data_Lists!M2,Dashboard_1!$H$47*Dashboard_1!$H$48,IF(Dashboard_1!$H$49=Data_Lists!M3,Dashboard_1!$H$47*Dashboard_1!$H$48,IF(Dashboard_1!$H$49=Data_Lists!M4,0,IF(Dashboard_1!$H$49=Data_Lists!M5,0,IF(Dashboard_1!$H$49=Data_Lists!M6,Dashboard_1!$H$47*Dashboard_1!$H$48,IF(Dashboard_1!$H$49=Data_Lists!M7,0))))))</f>
        <v>500</v>
      </c>
      <c r="AY24" s="134">
        <f>IF(Dashboard_1!$H$49=Data_Lists!M2,Dashboard_1!$H$47*Dashboard_1!$H$48,IF(Dashboard_1!$H$49=Data_Lists!M3,0,IF(Dashboard_1!$H$49=Data_Lists!M4,0,IF(Dashboard_1!$H$49=Data_Lists!M5,0,IF(Dashboard_1!$H$49=Data_Lists!M6,0,IF(Dashboard_1!$H$49=Data_Lists!M7,0))))))</f>
        <v>500</v>
      </c>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row>
    <row r="25" spans="1:98" s="138" customFormat="1" x14ac:dyDescent="0.45">
      <c r="A25" s="136" t="s">
        <v>258</v>
      </c>
      <c r="B25" s="134">
        <f>IF(Dashboard_1!$H$31=Data_Lists!M2,Dashboard_1!$H$29*Dashboard_1!$H$30,IF(Dashboard_1!$H$31=Data_Lists!M3,0,IF(Dashboard_1!$H$31=Data_Lists!M4,0,IF(Dashboard_1!$H$31=Data_Lists!M5,0,IF(Dashboard_1!$H$31=Data_Lists!M6,0,IF(Dashboard_1!$H$31=Data_Lists!M7,0))))))</f>
        <v>300</v>
      </c>
      <c r="C25" s="134">
        <f>IF(Dashboard_1!$H$31=Data_Lists!M2,Dashboard_1!$H$29*Dashboard_1!$H$30,IF(Dashboard_1!$H$31=Data_Lists!M3,Dashboard_1!$H$29*Dashboard_1!$H$30,IF(Dashboard_1!$H$31=Data_Lists!M4,0,IF(Dashboard_1!$H$31=Data_Lists!M5,0,IF(Dashboard_1!$H$31=Data_Lists!M6,0,IF(Dashboard_1!$H$31=Data_Lists!M7,0))))))</f>
        <v>300</v>
      </c>
      <c r="D25" s="134">
        <f>IF(Dashboard_1!$H$31=Data_Lists!M2,Dashboard_1!$H$29*Dashboard_1!$H$30,IF(Dashboard_1!$H$31=Data_Lists!M3,0,IF(Dashboard_1!$H$31=Data_Lists!M4,Dashboard_1!$H$29*Dashboard_1!$H$30,IF(Dashboard_1!$H$31=Data_Lists!M5,0,IF(Dashboard_1!$H$31=Data_Lists!M6,0,IF(Dashboard_1!$H$31=Data_Lists!M7,0))))))</f>
        <v>300</v>
      </c>
      <c r="E25" s="134">
        <f>IF(Dashboard_1!$H$31=Data_Lists!M2,Dashboard_1!$H$29*Dashboard_1!$H$30,IF(Dashboard_1!$H$31=Data_Lists!M3,Dashboard_1!$H$29*Dashboard_1!$H$30,IF(Dashboard_1!$H$31=Data_Lists!M4,0,IF(Dashboard_1!$H$31=Data_Lists!M5,Dashboard_1!$H$29*Dashboard_1!$H$30,IF(Dashboard_1!$H$31=Data_Lists!M6,0,IF(Dashboard_1!$H$31=Data_Lists!M7,0))))))</f>
        <v>300</v>
      </c>
      <c r="F25" s="134">
        <f>IF(Dashboard_1!$H$31=Data_Lists!M2,Dashboard_1!$H$29*Dashboard_1!$H$30,IF(Dashboard_1!$H$31=Data_Lists!M3,0,IF(Dashboard_1!$H$31=Data_Lists!M4,0,IF(Dashboard_1!$H$31=Data_Lists!M5,0,IF(Dashboard_1!$H$31=Data_Lists!M6,Dashboard_1!$H$29*Dashboard_1!$H$30,IF(Dashboard_1!$H$31=Data_Lists!M7,0))))))</f>
        <v>300</v>
      </c>
      <c r="G25" s="134">
        <f>IF(Dashboard_1!$H$31=Data_Lists!M2,Dashboard_1!$H$29*Dashboard_1!$H$30,IF(Dashboard_1!$H$31=Data_Lists!M3,Dashboard_1!$H$29*Dashboard_1!$H$30,IF(Dashboard_1!$H$31=Data_Lists!M4,Dashboard_1!$H$29*Dashboard_1!$H$30,IF(Dashboard_1!$H$31=Data_Lists!M5,0,IF(Dashboard_1!$H$31=Data_Lists!M6,0,IF(Dashboard_1!$H$31=Data_Lists!M7,0))))))</f>
        <v>300</v>
      </c>
      <c r="H25" s="134">
        <f>IF(Dashboard_1!$H$31=Data_Lists!M2,Dashboard_1!$H$29*Dashboard_1!$H$30,IF(Dashboard_1!$H$31=Data_Lists!M3,0,IF(Dashboard_1!$H$31=Data_Lists!M4,0,IF(Dashboard_1!$H$31=Data_Lists!M5,0,IF(Dashboard_1!$H$31=Data_Lists!M6,0,IF(Dashboard_1!$H$31=Data_Lists!M7,0))))))</f>
        <v>300</v>
      </c>
      <c r="I25" s="134">
        <f>IF(Dashboard_1!$H$31=Data_Lists!M2,Dashboard_1!$H$29*Dashboard_1!$H$30,IF(Dashboard_1!$H$31=Data_Lists!M3,Dashboard_1!$H$29*Dashboard_1!$H$30,IF(Dashboard_1!$H$31=Data_Lists!M4,0,IF(Dashboard_1!$H$31=Data_Lists!M5,Dashboard_1!$H$29*Dashboard_1!$H$30,IF(Dashboard_1!$H$31=Data_Lists!M6,0,IF(Dashboard_1!$H$31=Data_Lists!M7,0))))))</f>
        <v>300</v>
      </c>
      <c r="J25" s="134">
        <f>IF(Dashboard_1!$H$31=Data_Lists!M2,Dashboard_1!$H$29*Dashboard_1!$H$30,IF(Dashboard_1!$H$31=Data_Lists!M3,0,IF(Dashboard_1!$H$31=Data_Lists!M4,Dashboard_1!$H$29*Dashboard_1!$H$30,IF(Dashboard_1!$H$31=Data_Lists!M5,0,IF(Dashboard_1!$H$31=Data_Lists!M6,0,IF(Dashboard_1!$H$31=Data_Lists!M7,0))))))</f>
        <v>300</v>
      </c>
      <c r="K25" s="134">
        <f>IF(Dashboard_1!$H$31=Data_Lists!M2,Dashboard_1!$H$29*Dashboard_1!$H$30,IF(Dashboard_1!$H$31=Data_Lists!M3,0,IF(Dashboard_1!$H$31=Data_Lists!M4,0,IF(Dashboard_1!$H$31=Data_Lists!M5,0,IF(Dashboard_1!$H$31=Data_Lists!M6,0,IF(Dashboard_1!$H$31=Data_Lists!M7,0))))))</f>
        <v>300</v>
      </c>
      <c r="L25" s="134">
        <f>IF(Dashboard_1!$H$31=Data_Lists!M2,Dashboard_1!$H$29*Dashboard_1!$H$30,IF(Dashboard_1!$H$31=Data_Lists!M3,Dashboard_1!$H$29*Dashboard_1!$H$30,IF(Dashboard_1!$H$31=Data_Lists!M4,0,IF(Dashboard_1!$H$31=Data_Lists!M5,0,IF(Dashboard_1!$H$31=Data_Lists!M6,0,IF(Dashboard_1!$H$31=Data_Lists!M7,0))))))</f>
        <v>300</v>
      </c>
      <c r="M25" s="134">
        <f>IF(Dashboard_1!$H$31=Data_Lists!M2,Dashboard_1!$H$29*Dashboard_1!$H$30,IF(Dashboard_1!$H$31=Data_Lists!M3,0,IF(Dashboard_1!$H$31=Data_Lists!M4,Dashboard_1!$H$29*Dashboard_1!$H$30,IF(Dashboard_1!$H$31=Data_Lists!M5,0,IF(Dashboard_1!$H$31=Data_Lists!M6,0,IF(Dashboard_1!$H$31=Data_Lists!M7,0))))))</f>
        <v>300</v>
      </c>
      <c r="N25" s="134">
        <f>IF(Dashboard_1!$H$31=Data_Lists!M2,Dashboard_1!$H$29*Dashboard_1!$H$30,IF(Dashboard_1!$H$31=Data_Lists!M3,Dashboard_1!$H$29*Dashboard_1!$H$30,IF(Dashboard_1!$H$31=Data_Lists!M4,0,IF(Dashboard_1!$H$31=Data_Lists!M5,Dashboard_1!$H$29*Dashboard_1!$H$30,IF(Dashboard_1!$H$31=Data_Lists!M6,0,IF(Dashboard_1!$H$31=Data_Lists!M7,0))))))</f>
        <v>300</v>
      </c>
      <c r="O25" s="134">
        <f>IF(Dashboard_1!$H$31=Data_Lists!M2,Dashboard_1!$H$29*Dashboard_1!$H$30,IF(Dashboard_1!$H$31=Data_Lists!M3,0,IF(Dashboard_1!$H$31=Data_Lists!M4,0,IF(Dashboard_1!$H$31=Data_Lists!M5,0,IF(Dashboard_1!$H$31=Data_Lists!M6,Dashboard_1!$H$29*Dashboard_1!$H$30,IF(Dashboard_1!$H$31=Data_Lists!M7,0))))))</f>
        <v>300</v>
      </c>
      <c r="P25" s="134">
        <f>IF(Dashboard_1!$H$31=Data_Lists!M2,Dashboard_1!$H$29*Dashboard_1!$H$30,IF(Dashboard_1!$H$31=Data_Lists!M3,Dashboard_1!$H$29*Dashboard_1!$H$30,IF(Dashboard_1!$H$31=Data_Lists!M4,Dashboard_1!$H$29*Dashboard_1!$H$30,IF(Dashboard_1!$H$31=Data_Lists!M5,0,IF(Dashboard_1!$H$31=Data_Lists!M6,0,IF(Dashboard_1!$H$31=Data_Lists!M7,0))))))</f>
        <v>300</v>
      </c>
      <c r="Q25" s="134">
        <f>IF(Dashboard_1!$H$31=Data_Lists!M2,Dashboard_1!$H$29*Dashboard_1!$H$30,IF(Dashboard_1!$H$31=Data_Lists!M3,0,IF(Dashboard_1!$H$31=Data_Lists!M4,0,IF(Dashboard_1!$H$31=Data_Lists!M5,0,IF(Dashboard_1!$H$31=Data_Lists!M6,0,IF(Dashboard_1!$H$31=Data_Lists!M7,0))))))</f>
        <v>300</v>
      </c>
      <c r="R25" s="134">
        <f>IF(Dashboard_1!$H$31=Data_Lists!M2,Dashboard_1!$H$29*Dashboard_1!$H$30,IF(Dashboard_1!$H$31=Data_Lists!M3,Dashboard_1!$H$29*Dashboard_1!$H$30,IF(Dashboard_1!$H$31=Data_Lists!M4,0,IF(Dashboard_1!$H$31=Data_Lists!M5,Dashboard_1!$H$29*Dashboard_1!$H$30,IF(Dashboard_1!$H$31=Data_Lists!M6,0,IF(Dashboard_1!$H$31=Data_Lists!M7,0))))))</f>
        <v>300</v>
      </c>
      <c r="S25" s="134">
        <f>IF(Dashboard_1!$H$31=Data_Lists!M2,Dashboard_1!$H$29*Dashboard_1!$H$30,IF(Dashboard_1!$H$31=Data_Lists!M3,0,IF(Dashboard_1!$H$31=Data_Lists!M4,Dashboard_1!$H$29*Dashboard_1!$H$30,IF(Dashboard_1!$H$31=Data_Lists!M5,0,IF(Dashboard_1!$H$31=Data_Lists!M6,0,IF(Dashboard_1!$H$31=Data_Lists!M7,0))))))</f>
        <v>300</v>
      </c>
      <c r="T25" s="134">
        <f>IF(Dashboard_1!$H$31=Data_Lists!M2,Dashboard_1!$H$29*Dashboard_1!$H$30,IF(Dashboard_1!$H$31=Data_Lists!M3,Dashboard_1!$H$29*Dashboard_1!$H$30,IF(Dashboard_1!$H$31=Data_Lists!M4,0,IF(Dashboard_1!$H$31=Data_Lists!M5,0,IF(Dashboard_1!$H$31=Data_Lists!M6,Dashboard_1!$H$29*Dashboard_1!$H$30,IF(Dashboard_1!$H$31=Data_Lists!M7,0))))))</f>
        <v>300</v>
      </c>
      <c r="U25" s="134">
        <f>IF(Dashboard_1!$H$31=Data_Lists!M2,Dashboard_1!$H$29*Dashboard_1!$H$30,IF(Dashboard_1!$H$31=Data_Lists!M3,0,IF(Dashboard_1!$H$31=Data_Lists!M4,0,IF(Dashboard_1!$H$31=Data_Lists!M5,0,IF(Dashboard_1!$H$31=Data_Lists!M6,0,IF(Dashboard_1!$H$31=Data_Lists!M7,0))))))</f>
        <v>300</v>
      </c>
      <c r="V25" s="134">
        <f>IF(Dashboard_1!$H$31=Data_Lists!M2,Dashboard_1!$H$29*Dashboard_1!$H$30,IF(Dashboard_1!$H$31=Data_Lists!M3,Dashboard_1!$H$29*Dashboard_1!$H$30,IF(Dashboard_1!$H$31=Data_Lists!M4,Dashboard_1!$H$29*Dashboard_1!$H$30,IF(Dashboard_1!$H$31=Data_Lists!M5,Dashboard_1!$H$29*Dashboard_1!$H$30,IF(Dashboard_1!$H$31=Data_Lists!M6,0,IF(Dashboard_1!$H$31=Data_Lists!M7,0))))))</f>
        <v>300</v>
      </c>
      <c r="W25" s="134">
        <f>IF(Dashboard_1!$H$31=Data_Lists!M2,Dashboard_1!$H$29*Dashboard_1!$H$30,IF(Dashboard_1!$H$31=Data_Lists!M3,0,IF(Dashboard_1!$H$31=Data_Lists!M4,0,IF(Dashboard_1!$H$31=Data_Lists!M5,0,IF(Dashboard_1!$H$31=Data_Lists!M6,0,IF(Dashboard_1!$H$31=Data_Lists!M7,0))))))</f>
        <v>300</v>
      </c>
      <c r="X25" s="134">
        <f>IF(Dashboard_1!$H$31=Data_Lists!M2,Dashboard_1!$H$29*Dashboard_1!$H$30,IF(Dashboard_1!$H$31=Data_Lists!M3,Dashboard_1!$H$29*Dashboard_1!$H$30,IF(Dashboard_1!$H$31=Data_Lists!M4,0,IF(Dashboard_1!$H$31=Data_Lists!M5,0,IF(Dashboard_1!$H$31=Data_Lists!M6,0,IF(Dashboard_1!$H$31=Data_Lists!M7,0))))))</f>
        <v>300</v>
      </c>
      <c r="Y25" s="134">
        <f>IF(Dashboard_1!$H$31=Data_Lists!M2,Dashboard_1!$H$29*Dashboard_1!$H$30,IF(Dashboard_1!$H$31=Data_Lists!M3,0,IF(Dashboard_1!$H$31=Data_Lists!M4,Dashboard_1!$H$29*Dashboard_1!$H$30,IF(Dashboard_1!$H$31=Data_Lists!M5,0,IF(Dashboard_1!$H$31=Data_Lists!M6,Dashboard_1!$H$29*Dashboard_1!$H$30,IF(Dashboard_1!$H$31=Data_Lists!M7,0))))))</f>
        <v>300</v>
      </c>
      <c r="Z25" s="134">
        <f>IF(Dashboard_1!$H$31=Data_Lists!M2,Dashboard_1!$H$29*Dashboard_1!$H$30,IF(Dashboard_1!$H$31=Data_Lists!M3,Dashboard_1!$H$29*Dashboard_1!$H$30,IF(Dashboard_1!$H$31=Data_Lists!M4,0,IF(Dashboard_1!$H$31=Data_Lists!M5,Dashboard_1!$H$29*Dashboard_1!$H$30,IF(Dashboard_1!$H$31=Data_Lists!M6,0,IF(Dashboard_1!$H$31=Data_Lists!M7,0))))))</f>
        <v>300</v>
      </c>
      <c r="AA25" s="134">
        <f>IF(Dashboard_1!$H$31=Data_Lists!M2,Dashboard_1!$H$29*Dashboard_1!$H$30,IF(Dashboard_1!$H$31=Data_Lists!M3,0,IF(Dashboard_1!$H$31=Data_Lists!M4,0,IF(Dashboard_1!$H$31=Data_Lists!M5,0,IF(Dashboard_1!$H$31=Data_Lists!M6,0,IF(Dashboard_1!$H$31=Data_Lists!M7,0))))))</f>
        <v>300</v>
      </c>
      <c r="AB25" s="134">
        <f>IF(Dashboard_1!$H$31=Data_Lists!M2,Dashboard_1!$H$29*Dashboard_1!$H$30,IF(Dashboard_1!$H$31=Data_Lists!M3,Dashboard_1!$H$29*Dashboard_1!$H$30,IF(Dashboard_1!$H$31=Data_Lists!M4,Dashboard_1!$H$29*Dashboard_1!$H$30,IF(Dashboard_1!$H$31=Data_Lists!M5,0,IF(Dashboard_1!$H$31=Data_Lists!M6,0,IF(Dashboard_1!$H$31=Data_Lists!M7,0))))))</f>
        <v>300</v>
      </c>
      <c r="AC25" s="134">
        <f>IF(Dashboard_1!$H$31=Data_Lists!M2,Dashboard_1!$H$29*Dashboard_1!$H$30,IF(Dashboard_1!$H$31=Data_Lists!M3,0,IF(Dashboard_1!$H$31=Data_Lists!M4,0,IF(Dashboard_1!$H$31=Data_Lists!M5,0,IF(Dashboard_1!$H$31=Data_Lists!M6,0,IF(Dashboard_1!$H$31=Data_Lists!M7,0))))))</f>
        <v>300</v>
      </c>
      <c r="AD25" s="134">
        <f>IF(Dashboard_1!$H$31=Data_Lists!M2,Dashboard_1!$H$29*Dashboard_1!$H$30,IF(Dashboard_1!$H$31=Data_Lists!M3,Dashboard_1!$H$29*Dashboard_1!$H$30,IF(Dashboard_1!$H$31=Data_Lists!M4,,IF(Dashboard_1!$H$31=Data_Lists!M5,Dashboard_1!$H$29*Dashboard_1!$H$30,IF(Dashboard_1!$H$31=Data_Lists!M6,Dashboard_1!$H$29*Dashboard_1!$H$30,IF(Dashboard_1!$H$31=Data_Lists!M7,0))))))</f>
        <v>300</v>
      </c>
      <c r="AE25" s="134">
        <f>IF(Dashboard_1!$H$31=Data_Lists!M2,Dashboard_1!$H$29*Dashboard_1!$H$30,IF(Dashboard_1!$H$31=Data_Lists!M3,0,IF(Dashboard_1!$H$31=Data_Lists!M4,Dashboard_1!$H$29*Dashboard_1!$H$30,IF(Dashboard_1!$H$31=Data_Lists!M5,0,IF(Dashboard_1!$H$31=Data_Lists!M6,0,IF(Dashboard_1!$H$31=Data_Lists!M7,0))))))</f>
        <v>300</v>
      </c>
      <c r="AF25" s="134">
        <f>IF(Dashboard_1!$H$31=Data_Lists!M2,Dashboard_1!$H$29*Dashboard_1!$H$30,IF(Dashboard_1!$H$31=Data_Lists!M3,Dashboard_1!$H$29*Dashboard_1!$H$30,IF(Dashboard_1!$H$31=Data_Lists!M4,0,IF(Dashboard_1!$H$31=Data_Lists!M5,0,IF(Dashboard_1!$H$31=Data_Lists!M6,0,IF(Dashboard_1!$H$31=Data_Lists!M7,0))))))</f>
        <v>300</v>
      </c>
      <c r="AG25" s="134">
        <f>IF(Dashboard_1!$H$31=Data_Lists!M2,Dashboard_1!$H$29*Dashboard_1!$H$30,IF(Dashboard_1!$H$31=Data_Lists!M3,0,IF(Dashboard_1!$H$31=Data_Lists!M4,0,IF(Dashboard_1!$H$31=Data_Lists!M5,0,IF(Dashboard_1!$H$31=Data_Lists!M6,0,IF(Dashboard_1!$H$31=Data_Lists!M7,0))))))</f>
        <v>300</v>
      </c>
      <c r="AH25" s="134">
        <f>IF(Dashboard_1!$H$31=Data_Lists!M2,Dashboard_1!$H$29*Dashboard_1!$H$30,IF(Dashboard_1!$H$31=Data_Lists!M3,Dashboard_1!$H$29*Dashboard_1!$H$30,IF(Dashboard_1!$H$31=Data_Lists!M4,Dashboard_1!$H$29*Dashboard_1!$H$30,IF(Dashboard_1!$H$31=Data_Lists!M5,Dashboard_1!$H$29*Dashboard_1!$H$30,IF(Dashboard_1!$H$31=Data_Lists!M6,0,IF(Dashboard_1!$H$31=Data_Lists!M7,0))))))</f>
        <v>300</v>
      </c>
      <c r="AI25" s="134">
        <f>IF(Dashboard_1!$H$31=Data_Lists!M2,Dashboard_1!$H$29*Dashboard_1!$H$30,IF(Dashboard_1!$H$31=Data_Lists!M3,0,IF(Dashboard_1!$H$31=Data_Lists!M4,0,IF(Dashboard_1!$H$31=Data_Lists!M5,0,IF(Dashboard_1!$H$31=Data_Lists!M6,Dashboard_1!$H$29*Dashboard_1!$H$30,IF(Dashboard_1!$H$31=Data_Lists!M7,0))))))</f>
        <v>300</v>
      </c>
      <c r="AJ25" s="134">
        <f>IF(Dashboard_1!$H$31=Data_Lists!M2,Dashboard_1!$H$29*Dashboard_1!$H$30,IF(Dashboard_1!$H$31=Data_Lists!M3,Dashboard_1!$H$29*Dashboard_1!$H$30,IF(Dashboard_1!$H$31=Data_Lists!M4,0,IF(Dashboard_1!$H$31=Data_Lists!M5,0,IF(Dashboard_1!$H$31=Data_Lists!M6,0,IF(Dashboard_1!$H$31=Data_Lists!M7,0))))))</f>
        <v>300</v>
      </c>
      <c r="AK25" s="134">
        <f>IF(Dashboard_1!$H$31=Data_Lists!M2,Dashboard_1!$H$29*Dashboard_1!$H$30,IF(Dashboard_1!$H$31=Data_Lists!M3,0,IF(Dashboard_1!$H$31=Data_Lists!M4,Dashboard_1!$H$29*Dashboard_1!$H$30,IF(Dashboard_1!$H$31=Data_Lists!M5,0,IF(Dashboard_1!$H$31=Data_Lists!M6,0,IF(Dashboard_1!$H$31=Data_Lists!M7,0))))))</f>
        <v>300</v>
      </c>
      <c r="AL25" s="134">
        <f>IF(Dashboard_1!$H$31=Data_Lists!M2,Dashboard_1!$H$29*Dashboard_1!$H$30,IF(Dashboard_1!$H$31=Data_Lists!M3,Dashboard_1!$H$29*Dashboard_1!$H$30,IF(Dashboard_1!$H$31=Data_Lists!M4,0,IF(Dashboard_1!$H$31=Data_Lists!M5,Dashboard_1!$H$29*Dashboard_1!$H$30,IF(Dashboard_1!$H$31=Data_Lists!M6,0,IF(Dashboard_1!$H$31=Data_Lists!M7,0))))))</f>
        <v>300</v>
      </c>
      <c r="AM25" s="134">
        <f>IF(Dashboard_1!$H$31=Data_Lists!M2,Dashboard_1!$H$29*Dashboard_1!$H$30,IF(Dashboard_1!$H$31=Data_Lists!M3,0,IF(Dashboard_1!$H$31=Data_Lists!M4,0,IF(Dashboard_1!$H$31=Data_Lists!M5,0,IF(Dashboard_1!$H$31=Data_Lists!M6,0,IF(Dashboard_1!$H$31=Data_Lists!M7,0))))))</f>
        <v>300</v>
      </c>
      <c r="AN25" s="134">
        <f>IF(Dashboard_1!$H$31=Data_Lists!M2,Dashboard_1!$H$29*Dashboard_1!$H$30,IF(Dashboard_1!$H$31=Data_Lists!M3,Dashboard_1!$H$29*Dashboard_1!$H$30,IF(Dashboard_1!$H$31=Data_Lists!M4,Dashboard_1!$H$29*Dashboard_1!$H$30,IF(Dashboard_1!$H$31=Data_Lists!M5,0,IF(Dashboard_1!$H$31=Data_Lists!M6,Dashboard_1!$H$29*Dashboard_1!$H$30,IF(Dashboard_1!$H$31=Data_Lists!M7,0))))))</f>
        <v>300</v>
      </c>
      <c r="AO25" s="134">
        <f>IF(Dashboard_1!$H$31=Data_Lists!M2,Dashboard_1!$H$29*Dashboard_1!$H$30,IF(Dashboard_1!$H$31=Data_Lists!M3,0,IF(Dashboard_1!$H$31=Data_Lists!M4,0,IF(Dashboard_1!$H$31=Data_Lists!M5,0,IF(Dashboard_1!$H$31=Data_Lists!M6,0,IF(Dashboard_1!$H$31=Data_Lists!M7,0))))))</f>
        <v>300</v>
      </c>
      <c r="AP25" s="134">
        <f>IF(Dashboard_1!$H$31=Data_Lists!M2,Dashboard_1!$H$29*Dashboard_1!$H$30,IF(Dashboard_1!$H$31=Data_Lists!M3,Dashboard_1!$H$29*Dashboard_1!$H$30,IF(Dashboard_1!$H$31=Data_Lists!M4,0,IF(Dashboard_1!$H$31=Data_Lists!M5,0,IF(Dashboard_1!$H$31=Data_Lists!M6,0,IF(Dashboard_1!$H$31=Data_Lists!M7,0))))))</f>
        <v>300</v>
      </c>
      <c r="AQ25" s="134">
        <f>IF(Dashboard_1!$H$31=Data_Lists!M2,Dashboard_1!$H$29*Dashboard_1!$H$30,IF(Dashboard_1!$H$31=Data_Lists!M3,0,IF(Dashboard_1!$H$31=Data_Lists!M4,Dashboard_1!$H$29*Dashboard_1!$H$30,IF(Dashboard_1!$H$31=Data_Lists!M5,0,IF(Dashboard_1!$H$31=Data_Lists!M6,0,IF(Dashboard_1!$H$31=Data_Lists!M7,0))))))</f>
        <v>300</v>
      </c>
      <c r="AR25" s="134">
        <f>IF(Dashboard_1!$H$31=Data_Lists!M2,Dashboard_1!$H$29*Dashboard_1!$H$30,IF(Dashboard_1!$H$31=Data_Lists!M3,Dashboard_1!$H$29*Dashboard_1!$H$30,IF(Dashboard_1!$H$31=Data_Lists!M4,0,IF(Dashboard_1!$H$31=Data_Lists!M5,Dashboard_1!$H$29*Dashboard_1!$H$30,IF(Dashboard_1!$H$31=Data_Lists!M6,0,IF(Dashboard_1!$H$31=Data_Lists!M7,0))))))</f>
        <v>300</v>
      </c>
      <c r="AS25" s="134">
        <f>IF(Dashboard_1!$H$31=Data_Lists!M2,Dashboard_1!$H$29*Dashboard_1!$H$30,IF(Dashboard_1!$H$31=Data_Lists!M3,0,IF(Dashboard_1!$H$31=Data_Lists!M4,0,IF(Dashboard_1!$H$31=Data_Lists!M5,0,IF(Dashboard_1!$H$31=Data_Lists!M6,Dashboard_1!$H$29*Dashboard_1!$H$30,IF(Dashboard_1!$H$31=Data_Lists!M7,0))))))</f>
        <v>300</v>
      </c>
      <c r="AT25" s="134">
        <f>IF(Dashboard_1!$H$31=Data_Lists!M2,Dashboard_1!$H$29*Dashboard_1!$H$30,IF(Dashboard_1!$H$31=Data_Lists!M3,Dashboard_1!$H$29*Dashboard_1!$H$30,IF(Dashboard_1!$H$31=Data_Lists!M4,Dashboard_1!$H$29*Dashboard_1!$H$30,IF(Dashboard_1!$H$31=Data_Lists!M5,0,IF(Dashboard_1!$H$31=Data_Lists!M6,0,IF(Dashboard_1!$H$31=Data_Lists!M7,0))))))</f>
        <v>300</v>
      </c>
      <c r="AU25" s="134">
        <f>IF(Dashboard_1!$H$31=Data_Lists!M2,Dashboard_1!$H$29*Dashboard_1!$H$30,IF(Dashboard_1!$H$31=Data_Lists!M3,0,IF(Dashboard_1!$H$31=Data_Lists!M4,0,IF(Dashboard_1!$H$31=Data_Lists!M5,0,IF(Dashboard_1!$H$31=Data_Lists!M6,0,IF(Dashboard_1!$H$31=Data_Lists!M7,0))))))</f>
        <v>300</v>
      </c>
      <c r="AV25" s="134">
        <f>IF(Dashboard_1!$H$31=Data_Lists!M2,Dashboard_1!$H$29*Dashboard_1!$H$30,IF(Dashboard_1!$H$31=Data_Lists!M3,Dashboard_1!$H$29*Dashboard_1!$H$30,IF(Dashboard_1!$H$31=Data_Lists!M4,0,IF(Dashboard_1!$H$31=Data_Lists!M5,Dashboard_1!$H$29*Dashboard_1!$H$30,IF(Dashboard_1!$H$31=Data_Lists!M6,0,IF(Dashboard_1!$H$31=Data_Lists!M7,0))))))</f>
        <v>300</v>
      </c>
      <c r="AW25" s="134">
        <f>IF(Dashboard_1!$H$31=Data_Lists!M2,Dashboard_1!$H$29*Dashboard_1!$H$30,IF(Dashboard_1!$H$31=Data_Lists!M3,0,IF(Dashboard_1!$H$31=Data_Lists!M4,Dashboard_1!$H$29*Dashboard_1!$H$30,IF(Dashboard_1!$H$31=Data_Lists!M5,0,IF(Dashboard_1!$H$31=Data_Lists!M6,0,IF(Dashboard_1!$H$31=Data_Lists!M7,0))))))</f>
        <v>300</v>
      </c>
      <c r="AX25" s="134">
        <f>IF(Dashboard_1!$H$31=Data_Lists!M2,Dashboard_1!$H$29*Dashboard_1!$H$30,IF(Dashboard_1!$H$31=Data_Lists!M3,Dashboard_1!$H$29*Dashboard_1!$H$30,IF(Dashboard_1!$H$31=Data_Lists!M4,0,IF(Dashboard_1!$H$31=Data_Lists!M5,0,IF(Dashboard_1!$H$31=Data_Lists!M6,Dashboard_1!$H$29*Dashboard_1!$H$30,IF(Dashboard_1!$H$31=Data_Lists!M7,0))))))</f>
        <v>300</v>
      </c>
      <c r="AY25" s="134">
        <f>IF(Dashboard_1!$H$31=Data_Lists!M2,Dashboard_1!$H$29*Dashboard_1!$H$30,IF(Dashboard_1!$H$31=Data_Lists!M3,0,IF(Dashboard_1!$H$31=Data_Lists!M4,0,IF(Dashboard_1!$H$31=Data_Lists!M5,0,IF(Dashboard_1!$H$31=Data_Lists!M6,0,IF(Dashboard_1!$H$31=Data_Lists!M7,0))))))</f>
        <v>300</v>
      </c>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row>
    <row r="26" spans="1:98" s="138" customFormat="1" x14ac:dyDescent="0.45">
      <c r="A26" s="136" t="str">
        <f>Dashboard_1!B50</f>
        <v>GIS mapping and inventory assessment ($)</v>
      </c>
      <c r="B26" s="134">
        <f>Dashboard_1!H50*Dashboard_1!$H$6</f>
        <v>240</v>
      </c>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row>
    <row r="27" spans="1:98" s="138" customFormat="1" x14ac:dyDescent="0.45">
      <c r="A27" s="136"/>
      <c r="B27" s="134"/>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row>
    <row r="28" spans="1:98" s="138" customFormat="1" x14ac:dyDescent="0.45">
      <c r="A28" s="144" t="s">
        <v>426</v>
      </c>
      <c r="B28" s="134"/>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row>
    <row r="29" spans="1:98" s="138" customFormat="1" x14ac:dyDescent="0.45">
      <c r="A29" s="197" t="str">
        <f>Dashboard_1!B32</f>
        <v>User specified cost item 1 ($/tree in Year 1 only)</v>
      </c>
      <c r="B29" s="197">
        <f>Dashboard_1!H32*Dashboard_1!$H$6</f>
        <v>0</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row>
    <row r="30" spans="1:98" s="138" customFormat="1" x14ac:dyDescent="0.45">
      <c r="A30" s="197" t="str">
        <f>Dashboard_1!B33</f>
        <v>User specified cost item 2 ($/tree per annum up to year 2)</v>
      </c>
      <c r="B30" s="197">
        <f>Dashboard_1!H33*Dashboard_1!$H$6</f>
        <v>0</v>
      </c>
      <c r="C30" s="197">
        <f>B30</f>
        <v>0</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row>
    <row r="31" spans="1:98" s="138" customFormat="1" x14ac:dyDescent="0.45">
      <c r="A31" s="197" t="str">
        <f>Dashboard_1!B34</f>
        <v>User specified cost item 3 ($/tree per annum)</v>
      </c>
      <c r="B31" s="197">
        <f>Dashboard_1!H34*Dashboard_1!$H$6</f>
        <v>0</v>
      </c>
      <c r="C31" s="197">
        <f>B31</f>
        <v>0</v>
      </c>
      <c r="D31" s="197">
        <f t="shared" ref="D31:AF31" si="26">C31</f>
        <v>0</v>
      </c>
      <c r="E31" s="197">
        <f t="shared" si="26"/>
        <v>0</v>
      </c>
      <c r="F31" s="197">
        <f t="shared" si="26"/>
        <v>0</v>
      </c>
      <c r="G31" s="197">
        <f t="shared" si="26"/>
        <v>0</v>
      </c>
      <c r="H31" s="197">
        <f t="shared" si="26"/>
        <v>0</v>
      </c>
      <c r="I31" s="197">
        <f t="shared" si="26"/>
        <v>0</v>
      </c>
      <c r="J31" s="197">
        <f t="shared" si="26"/>
        <v>0</v>
      </c>
      <c r="K31" s="197">
        <f t="shared" si="26"/>
        <v>0</v>
      </c>
      <c r="L31" s="197">
        <f t="shared" si="26"/>
        <v>0</v>
      </c>
      <c r="M31" s="197">
        <f t="shared" si="26"/>
        <v>0</v>
      </c>
      <c r="N31" s="197">
        <f t="shared" si="26"/>
        <v>0</v>
      </c>
      <c r="O31" s="197">
        <f t="shared" si="26"/>
        <v>0</v>
      </c>
      <c r="P31" s="197">
        <f t="shared" si="26"/>
        <v>0</v>
      </c>
      <c r="Q31" s="197">
        <f t="shared" si="26"/>
        <v>0</v>
      </c>
      <c r="R31" s="197">
        <f t="shared" si="26"/>
        <v>0</v>
      </c>
      <c r="S31" s="197">
        <f t="shared" si="26"/>
        <v>0</v>
      </c>
      <c r="T31" s="197">
        <f t="shared" si="26"/>
        <v>0</v>
      </c>
      <c r="U31" s="197">
        <f t="shared" si="26"/>
        <v>0</v>
      </c>
      <c r="V31" s="197">
        <f t="shared" si="26"/>
        <v>0</v>
      </c>
      <c r="W31" s="197">
        <f t="shared" si="26"/>
        <v>0</v>
      </c>
      <c r="X31" s="197">
        <f t="shared" si="26"/>
        <v>0</v>
      </c>
      <c r="Y31" s="197">
        <f t="shared" si="26"/>
        <v>0</v>
      </c>
      <c r="Z31" s="197">
        <f t="shared" si="26"/>
        <v>0</v>
      </c>
      <c r="AA31" s="197">
        <f t="shared" si="26"/>
        <v>0</v>
      </c>
      <c r="AB31" s="197">
        <f t="shared" si="26"/>
        <v>0</v>
      </c>
      <c r="AC31" s="197">
        <f t="shared" si="26"/>
        <v>0</v>
      </c>
      <c r="AD31" s="197">
        <f t="shared" si="26"/>
        <v>0</v>
      </c>
      <c r="AE31" s="197">
        <f t="shared" si="26"/>
        <v>0</v>
      </c>
      <c r="AF31" s="197">
        <f t="shared" si="26"/>
        <v>0</v>
      </c>
      <c r="AG31" s="197">
        <f t="shared" ref="AG31:AY31" si="27">AF31</f>
        <v>0</v>
      </c>
      <c r="AH31" s="197">
        <f t="shared" si="27"/>
        <v>0</v>
      </c>
      <c r="AI31" s="197">
        <f t="shared" si="27"/>
        <v>0</v>
      </c>
      <c r="AJ31" s="197">
        <f t="shared" si="27"/>
        <v>0</v>
      </c>
      <c r="AK31" s="197">
        <f t="shared" si="27"/>
        <v>0</v>
      </c>
      <c r="AL31" s="197">
        <f t="shared" si="27"/>
        <v>0</v>
      </c>
      <c r="AM31" s="197">
        <f t="shared" si="27"/>
        <v>0</v>
      </c>
      <c r="AN31" s="197">
        <f t="shared" si="27"/>
        <v>0</v>
      </c>
      <c r="AO31" s="197">
        <f t="shared" si="27"/>
        <v>0</v>
      </c>
      <c r="AP31" s="197">
        <f t="shared" si="27"/>
        <v>0</v>
      </c>
      <c r="AQ31" s="197">
        <f t="shared" si="27"/>
        <v>0</v>
      </c>
      <c r="AR31" s="197">
        <f t="shared" si="27"/>
        <v>0</v>
      </c>
      <c r="AS31" s="197">
        <f t="shared" si="27"/>
        <v>0</v>
      </c>
      <c r="AT31" s="197">
        <f t="shared" si="27"/>
        <v>0</v>
      </c>
      <c r="AU31" s="197">
        <f t="shared" si="27"/>
        <v>0</v>
      </c>
      <c r="AV31" s="197">
        <f t="shared" si="27"/>
        <v>0</v>
      </c>
      <c r="AW31" s="197">
        <f t="shared" si="27"/>
        <v>0</v>
      </c>
      <c r="AX31" s="197">
        <f t="shared" si="27"/>
        <v>0</v>
      </c>
      <c r="AY31" s="197">
        <f t="shared" si="27"/>
        <v>0</v>
      </c>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row>
    <row r="32" spans="1:98" s="138" customFormat="1" x14ac:dyDescent="0.45">
      <c r="A32" s="197" t="str">
        <f>Dashboard_1!B35</f>
        <v>User specified cost item 4 ($/tree per annum)</v>
      </c>
      <c r="B32" s="197">
        <f>Dashboard_1!H35*Dashboard_1!$H$6</f>
        <v>0</v>
      </c>
      <c r="C32" s="197">
        <f>B32</f>
        <v>0</v>
      </c>
      <c r="D32" s="197">
        <f t="shared" ref="D32:AF32" si="28">C32</f>
        <v>0</v>
      </c>
      <c r="E32" s="197">
        <f t="shared" si="28"/>
        <v>0</v>
      </c>
      <c r="F32" s="197">
        <f t="shared" si="28"/>
        <v>0</v>
      </c>
      <c r="G32" s="197">
        <f t="shared" si="28"/>
        <v>0</v>
      </c>
      <c r="H32" s="197">
        <f t="shared" si="28"/>
        <v>0</v>
      </c>
      <c r="I32" s="197">
        <f t="shared" si="28"/>
        <v>0</v>
      </c>
      <c r="J32" s="197">
        <f t="shared" si="28"/>
        <v>0</v>
      </c>
      <c r="K32" s="197">
        <f t="shared" si="28"/>
        <v>0</v>
      </c>
      <c r="L32" s="197">
        <f t="shared" si="28"/>
        <v>0</v>
      </c>
      <c r="M32" s="197">
        <f t="shared" si="28"/>
        <v>0</v>
      </c>
      <c r="N32" s="197">
        <f t="shared" si="28"/>
        <v>0</v>
      </c>
      <c r="O32" s="197">
        <f t="shared" si="28"/>
        <v>0</v>
      </c>
      <c r="P32" s="197">
        <f t="shared" si="28"/>
        <v>0</v>
      </c>
      <c r="Q32" s="197">
        <f t="shared" si="28"/>
        <v>0</v>
      </c>
      <c r="R32" s="197">
        <f t="shared" si="28"/>
        <v>0</v>
      </c>
      <c r="S32" s="197">
        <f t="shared" si="28"/>
        <v>0</v>
      </c>
      <c r="T32" s="197">
        <f t="shared" si="28"/>
        <v>0</v>
      </c>
      <c r="U32" s="197">
        <f t="shared" si="28"/>
        <v>0</v>
      </c>
      <c r="V32" s="197">
        <f t="shared" si="28"/>
        <v>0</v>
      </c>
      <c r="W32" s="197">
        <f t="shared" si="28"/>
        <v>0</v>
      </c>
      <c r="X32" s="197">
        <f t="shared" si="28"/>
        <v>0</v>
      </c>
      <c r="Y32" s="197">
        <f t="shared" si="28"/>
        <v>0</v>
      </c>
      <c r="Z32" s="197">
        <f t="shared" si="28"/>
        <v>0</v>
      </c>
      <c r="AA32" s="197">
        <f t="shared" si="28"/>
        <v>0</v>
      </c>
      <c r="AB32" s="197">
        <f t="shared" si="28"/>
        <v>0</v>
      </c>
      <c r="AC32" s="197">
        <f t="shared" si="28"/>
        <v>0</v>
      </c>
      <c r="AD32" s="197">
        <f t="shared" si="28"/>
        <v>0</v>
      </c>
      <c r="AE32" s="197">
        <f t="shared" si="28"/>
        <v>0</v>
      </c>
      <c r="AF32" s="197">
        <f t="shared" si="28"/>
        <v>0</v>
      </c>
      <c r="AG32" s="197">
        <f t="shared" ref="AG32:AY32" si="29">AF32</f>
        <v>0</v>
      </c>
      <c r="AH32" s="197">
        <f t="shared" si="29"/>
        <v>0</v>
      </c>
      <c r="AI32" s="197">
        <f t="shared" si="29"/>
        <v>0</v>
      </c>
      <c r="AJ32" s="197">
        <f t="shared" si="29"/>
        <v>0</v>
      </c>
      <c r="AK32" s="197">
        <f t="shared" si="29"/>
        <v>0</v>
      </c>
      <c r="AL32" s="197">
        <f t="shared" si="29"/>
        <v>0</v>
      </c>
      <c r="AM32" s="197">
        <f t="shared" si="29"/>
        <v>0</v>
      </c>
      <c r="AN32" s="197">
        <f t="shared" si="29"/>
        <v>0</v>
      </c>
      <c r="AO32" s="197">
        <f t="shared" si="29"/>
        <v>0</v>
      </c>
      <c r="AP32" s="197">
        <f t="shared" si="29"/>
        <v>0</v>
      </c>
      <c r="AQ32" s="197">
        <f t="shared" si="29"/>
        <v>0</v>
      </c>
      <c r="AR32" s="197">
        <f t="shared" si="29"/>
        <v>0</v>
      </c>
      <c r="AS32" s="197">
        <f t="shared" si="29"/>
        <v>0</v>
      </c>
      <c r="AT32" s="197">
        <f t="shared" si="29"/>
        <v>0</v>
      </c>
      <c r="AU32" s="197">
        <f t="shared" si="29"/>
        <v>0</v>
      </c>
      <c r="AV32" s="197">
        <f t="shared" si="29"/>
        <v>0</v>
      </c>
      <c r="AW32" s="197">
        <f t="shared" si="29"/>
        <v>0</v>
      </c>
      <c r="AX32" s="197">
        <f t="shared" si="29"/>
        <v>0</v>
      </c>
      <c r="AY32" s="197">
        <f t="shared" si="29"/>
        <v>0</v>
      </c>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row>
    <row r="33" spans="1:98" s="138" customFormat="1" x14ac:dyDescent="0.45">
      <c r="A33" s="197" t="str">
        <f>Dashboard_1!B36</f>
        <v>User specified cost item 5 ($/tree per annum)</v>
      </c>
      <c r="B33" s="197">
        <f>Dashboard_1!H36*Dashboard_1!$H$6</f>
        <v>0</v>
      </c>
      <c r="C33" s="197">
        <f>B33</f>
        <v>0</v>
      </c>
      <c r="D33" s="197">
        <f t="shared" ref="D33:AF33" si="30">C33</f>
        <v>0</v>
      </c>
      <c r="E33" s="197">
        <f t="shared" si="30"/>
        <v>0</v>
      </c>
      <c r="F33" s="197">
        <f t="shared" si="30"/>
        <v>0</v>
      </c>
      <c r="G33" s="197">
        <f t="shared" si="30"/>
        <v>0</v>
      </c>
      <c r="H33" s="197">
        <f t="shared" si="30"/>
        <v>0</v>
      </c>
      <c r="I33" s="197">
        <f t="shared" si="30"/>
        <v>0</v>
      </c>
      <c r="J33" s="197">
        <f t="shared" si="30"/>
        <v>0</v>
      </c>
      <c r="K33" s="197">
        <f t="shared" si="30"/>
        <v>0</v>
      </c>
      <c r="L33" s="197">
        <f t="shared" si="30"/>
        <v>0</v>
      </c>
      <c r="M33" s="197">
        <f t="shared" si="30"/>
        <v>0</v>
      </c>
      <c r="N33" s="197">
        <f t="shared" si="30"/>
        <v>0</v>
      </c>
      <c r="O33" s="197">
        <f t="shared" si="30"/>
        <v>0</v>
      </c>
      <c r="P33" s="197">
        <f t="shared" si="30"/>
        <v>0</v>
      </c>
      <c r="Q33" s="197">
        <f t="shared" si="30"/>
        <v>0</v>
      </c>
      <c r="R33" s="197">
        <f t="shared" si="30"/>
        <v>0</v>
      </c>
      <c r="S33" s="197">
        <f t="shared" si="30"/>
        <v>0</v>
      </c>
      <c r="T33" s="197">
        <f t="shared" si="30"/>
        <v>0</v>
      </c>
      <c r="U33" s="197">
        <f t="shared" si="30"/>
        <v>0</v>
      </c>
      <c r="V33" s="197">
        <f t="shared" si="30"/>
        <v>0</v>
      </c>
      <c r="W33" s="197">
        <f t="shared" si="30"/>
        <v>0</v>
      </c>
      <c r="X33" s="197">
        <f t="shared" si="30"/>
        <v>0</v>
      </c>
      <c r="Y33" s="197">
        <f t="shared" si="30"/>
        <v>0</v>
      </c>
      <c r="Z33" s="197">
        <f t="shared" si="30"/>
        <v>0</v>
      </c>
      <c r="AA33" s="197">
        <f t="shared" si="30"/>
        <v>0</v>
      </c>
      <c r="AB33" s="197">
        <f t="shared" si="30"/>
        <v>0</v>
      </c>
      <c r="AC33" s="197">
        <f t="shared" si="30"/>
        <v>0</v>
      </c>
      <c r="AD33" s="197">
        <f t="shared" si="30"/>
        <v>0</v>
      </c>
      <c r="AE33" s="197">
        <f t="shared" si="30"/>
        <v>0</v>
      </c>
      <c r="AF33" s="197">
        <f t="shared" si="30"/>
        <v>0</v>
      </c>
      <c r="AG33" s="197">
        <f t="shared" ref="AG33:AY33" si="31">AF33</f>
        <v>0</v>
      </c>
      <c r="AH33" s="197">
        <f t="shared" si="31"/>
        <v>0</v>
      </c>
      <c r="AI33" s="197">
        <f t="shared" si="31"/>
        <v>0</v>
      </c>
      <c r="AJ33" s="197">
        <f t="shared" si="31"/>
        <v>0</v>
      </c>
      <c r="AK33" s="197">
        <f t="shared" si="31"/>
        <v>0</v>
      </c>
      <c r="AL33" s="197">
        <f t="shared" si="31"/>
        <v>0</v>
      </c>
      <c r="AM33" s="197">
        <f t="shared" si="31"/>
        <v>0</v>
      </c>
      <c r="AN33" s="197">
        <f t="shared" si="31"/>
        <v>0</v>
      </c>
      <c r="AO33" s="197">
        <f t="shared" si="31"/>
        <v>0</v>
      </c>
      <c r="AP33" s="197">
        <f t="shared" si="31"/>
        <v>0</v>
      </c>
      <c r="AQ33" s="197">
        <f t="shared" si="31"/>
        <v>0</v>
      </c>
      <c r="AR33" s="197">
        <f t="shared" si="31"/>
        <v>0</v>
      </c>
      <c r="AS33" s="197">
        <f t="shared" si="31"/>
        <v>0</v>
      </c>
      <c r="AT33" s="197">
        <f t="shared" si="31"/>
        <v>0</v>
      </c>
      <c r="AU33" s="197">
        <f t="shared" si="31"/>
        <v>0</v>
      </c>
      <c r="AV33" s="197">
        <f t="shared" si="31"/>
        <v>0</v>
      </c>
      <c r="AW33" s="197">
        <f t="shared" si="31"/>
        <v>0</v>
      </c>
      <c r="AX33" s="197">
        <f t="shared" si="31"/>
        <v>0</v>
      </c>
      <c r="AY33" s="197">
        <f t="shared" si="31"/>
        <v>0</v>
      </c>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row>
    <row r="34" spans="1:98" s="138" customFormat="1" x14ac:dyDescent="0.45">
      <c r="A34" s="136"/>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row>
    <row r="35" spans="1:98" s="138" customFormat="1" x14ac:dyDescent="0.45">
      <c r="A35" s="143" t="s">
        <v>82</v>
      </c>
      <c r="B35" s="62">
        <f>SUM(B19:B26,B30:B33)</f>
        <v>29482.666666666668</v>
      </c>
      <c r="C35" s="62">
        <f>SUM(C19:C26,C30:C33)</f>
        <v>8640</v>
      </c>
      <c r="D35" s="62">
        <f t="shared" ref="D35:AY35" si="32">SUM(D19:D26,D30:D33)</f>
        <v>7080</v>
      </c>
      <c r="E35" s="62">
        <f t="shared" si="32"/>
        <v>7080</v>
      </c>
      <c r="F35" s="62">
        <f t="shared" si="32"/>
        <v>7080</v>
      </c>
      <c r="G35" s="62">
        <f t="shared" si="32"/>
        <v>7080</v>
      </c>
      <c r="H35" s="62">
        <f t="shared" si="32"/>
        <v>7080</v>
      </c>
      <c r="I35" s="62">
        <f t="shared" si="32"/>
        <v>7080</v>
      </c>
      <c r="J35" s="62">
        <f t="shared" si="32"/>
        <v>7080</v>
      </c>
      <c r="K35" s="62">
        <f t="shared" si="32"/>
        <v>7080</v>
      </c>
      <c r="L35" s="62">
        <f t="shared" si="32"/>
        <v>7080</v>
      </c>
      <c r="M35" s="62">
        <f t="shared" si="32"/>
        <v>7080</v>
      </c>
      <c r="N35" s="62">
        <f t="shared" si="32"/>
        <v>7080</v>
      </c>
      <c r="O35" s="62">
        <f t="shared" si="32"/>
        <v>7080</v>
      </c>
      <c r="P35" s="62">
        <f t="shared" si="32"/>
        <v>7080</v>
      </c>
      <c r="Q35" s="62">
        <f t="shared" si="32"/>
        <v>7080</v>
      </c>
      <c r="R35" s="62">
        <f t="shared" si="32"/>
        <v>7080</v>
      </c>
      <c r="S35" s="62">
        <f t="shared" si="32"/>
        <v>7080</v>
      </c>
      <c r="T35" s="62">
        <f t="shared" si="32"/>
        <v>7080</v>
      </c>
      <c r="U35" s="62">
        <f t="shared" si="32"/>
        <v>7080</v>
      </c>
      <c r="V35" s="62">
        <f t="shared" si="32"/>
        <v>7080</v>
      </c>
      <c r="W35" s="62">
        <f t="shared" si="32"/>
        <v>7080</v>
      </c>
      <c r="X35" s="62">
        <f t="shared" si="32"/>
        <v>7080</v>
      </c>
      <c r="Y35" s="62">
        <f t="shared" si="32"/>
        <v>7080</v>
      </c>
      <c r="Z35" s="62">
        <f t="shared" si="32"/>
        <v>7080</v>
      </c>
      <c r="AA35" s="62">
        <f t="shared" si="32"/>
        <v>7080</v>
      </c>
      <c r="AB35" s="62">
        <f t="shared" si="32"/>
        <v>7080</v>
      </c>
      <c r="AC35" s="62">
        <f t="shared" si="32"/>
        <v>7080</v>
      </c>
      <c r="AD35" s="62">
        <f t="shared" si="32"/>
        <v>7080</v>
      </c>
      <c r="AE35" s="62">
        <f t="shared" si="32"/>
        <v>7080</v>
      </c>
      <c r="AF35" s="62">
        <f t="shared" si="32"/>
        <v>7080</v>
      </c>
      <c r="AG35" s="62">
        <f t="shared" si="32"/>
        <v>7080</v>
      </c>
      <c r="AH35" s="62">
        <f t="shared" si="32"/>
        <v>7080</v>
      </c>
      <c r="AI35" s="62">
        <f t="shared" si="32"/>
        <v>7080</v>
      </c>
      <c r="AJ35" s="62">
        <f t="shared" si="32"/>
        <v>7080</v>
      </c>
      <c r="AK35" s="62">
        <f t="shared" si="32"/>
        <v>7080</v>
      </c>
      <c r="AL35" s="62">
        <f t="shared" si="32"/>
        <v>7080</v>
      </c>
      <c r="AM35" s="62">
        <f t="shared" si="32"/>
        <v>7080</v>
      </c>
      <c r="AN35" s="62">
        <f t="shared" si="32"/>
        <v>7080</v>
      </c>
      <c r="AO35" s="62">
        <f t="shared" si="32"/>
        <v>7080</v>
      </c>
      <c r="AP35" s="62">
        <f t="shared" si="32"/>
        <v>7080</v>
      </c>
      <c r="AQ35" s="62">
        <f t="shared" si="32"/>
        <v>7080</v>
      </c>
      <c r="AR35" s="62">
        <f t="shared" si="32"/>
        <v>7080</v>
      </c>
      <c r="AS35" s="62">
        <f t="shared" si="32"/>
        <v>7080</v>
      </c>
      <c r="AT35" s="62">
        <f t="shared" si="32"/>
        <v>7080</v>
      </c>
      <c r="AU35" s="62">
        <f t="shared" si="32"/>
        <v>7080</v>
      </c>
      <c r="AV35" s="62">
        <f t="shared" si="32"/>
        <v>7080</v>
      </c>
      <c r="AW35" s="62">
        <f t="shared" si="32"/>
        <v>7080</v>
      </c>
      <c r="AX35" s="62">
        <f t="shared" si="32"/>
        <v>7080</v>
      </c>
      <c r="AY35" s="62">
        <f t="shared" si="32"/>
        <v>7080</v>
      </c>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row>
    <row r="36" spans="1:98" s="138" customFormat="1" x14ac:dyDescent="0.45">
      <c r="A36" s="136"/>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10"/>
      <c r="CO36" s="210"/>
      <c r="CP36" s="210"/>
      <c r="CQ36" s="210"/>
      <c r="CR36" s="210"/>
      <c r="CS36" s="210"/>
      <c r="CT36" s="210"/>
    </row>
    <row r="37" spans="1:98" s="138" customFormat="1" x14ac:dyDescent="0.45">
      <c r="A37" s="144" t="s">
        <v>83</v>
      </c>
      <c r="B37" s="168"/>
      <c r="C37" s="183"/>
      <c r="D37" s="183"/>
      <c r="E37" s="183"/>
      <c r="F37" s="183"/>
      <c r="G37" s="183"/>
      <c r="H37" s="168"/>
      <c r="I37" s="168"/>
      <c r="J37" s="18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10"/>
      <c r="CO37" s="210"/>
      <c r="CP37" s="210"/>
      <c r="CQ37" s="210"/>
      <c r="CR37" s="210"/>
      <c r="CS37" s="210"/>
      <c r="CT37" s="210"/>
    </row>
    <row r="38" spans="1:98" s="138" customFormat="1" x14ac:dyDescent="0.45">
      <c r="A38" s="136" t="str">
        <f>Dashboard_1!B52</f>
        <v>Mortality - under a poor maintenance regime</v>
      </c>
      <c r="B38" s="189"/>
      <c r="C38" s="137">
        <f>Dashboard_1!H52*(B16-B14-B4-B15-B10-B12)</f>
        <v>5663.9634785671997</v>
      </c>
      <c r="D38" s="137">
        <f>(1-Dashboard_1!$H$52)*C38</f>
        <v>4814.3689567821193</v>
      </c>
      <c r="E38" s="137">
        <f>(1-Dashboard_1!$H$52)*D38</f>
        <v>4092.2136132648011</v>
      </c>
      <c r="F38" s="137">
        <f>(1-Dashboard_1!$H$52)*E38</f>
        <v>3478.3815712750807</v>
      </c>
      <c r="G38" s="137">
        <f>(1-Dashboard_1!$H$52)*F38</f>
        <v>2956.6243355838183</v>
      </c>
      <c r="H38" s="168"/>
      <c r="I38" s="168"/>
      <c r="J38" s="168"/>
      <c r="K38" s="188"/>
      <c r="L38" s="168"/>
      <c r="M38" s="168"/>
      <c r="N38" s="168"/>
      <c r="O38" s="168"/>
      <c r="P38" s="188"/>
      <c r="Q38" s="168"/>
      <c r="R38" s="168"/>
      <c r="S38" s="168"/>
      <c r="T38" s="168"/>
      <c r="U38" s="188"/>
      <c r="V38" s="168"/>
      <c r="W38" s="168"/>
      <c r="X38" s="168"/>
      <c r="Y38" s="168"/>
      <c r="Z38" s="188"/>
      <c r="AA38" s="168"/>
      <c r="AB38" s="168"/>
      <c r="AC38" s="168"/>
      <c r="AD38" s="16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row>
    <row r="39" spans="1:98" s="138" customFormat="1" x14ac:dyDescent="0.45">
      <c r="A39" s="136" t="str">
        <f>Dashboard_1!B53</f>
        <v>Mortality - under a good maintenance regime</v>
      </c>
      <c r="B39" s="189"/>
      <c r="C39" s="137">
        <f>Dashboard_1!H53*(B16-B14-B4-B15-B10-B12)</f>
        <v>1887.9878261890667</v>
      </c>
      <c r="D39" s="137">
        <f>(1-Dashboard_1!$H$53)*C39</f>
        <v>1793.5884348796133</v>
      </c>
      <c r="E39" s="137">
        <f>(1-Dashboard_1!$H$53)*D39</f>
        <v>1703.9090131356324</v>
      </c>
      <c r="F39" s="137">
        <f>(1-Dashboard_1!$H$53)*E39</f>
        <v>1618.7135624788507</v>
      </c>
      <c r="G39" s="137">
        <f>(1-Dashboard_1!$H$53)*F39</f>
        <v>1537.7778843549081</v>
      </c>
      <c r="H39" s="168"/>
      <c r="I39" s="168"/>
      <c r="J39" s="168"/>
      <c r="K39" s="183"/>
      <c r="L39" s="168"/>
      <c r="M39" s="168"/>
      <c r="N39" s="168"/>
      <c r="O39" s="168"/>
      <c r="P39" s="183"/>
      <c r="Q39" s="168"/>
      <c r="R39" s="168"/>
      <c r="S39" s="168"/>
      <c r="T39" s="168"/>
      <c r="U39" s="183"/>
      <c r="V39" s="168"/>
      <c r="W39" s="168"/>
      <c r="X39" s="168"/>
      <c r="Y39" s="168"/>
      <c r="Z39" s="183"/>
      <c r="AA39" s="168"/>
      <c r="AB39" s="168"/>
      <c r="AC39" s="168"/>
      <c r="AD39" s="168"/>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row>
    <row r="40" spans="1:98" s="138" customFormat="1" x14ac:dyDescent="0.45">
      <c r="A40" s="136" t="s">
        <v>115</v>
      </c>
      <c r="B40" s="146"/>
      <c r="C40" s="137">
        <f>C38-C39</f>
        <v>3775.975652378133</v>
      </c>
      <c r="D40" s="137">
        <f>D38-D39</f>
        <v>3020.7805219025058</v>
      </c>
      <c r="E40" s="137">
        <f>E38-E39</f>
        <v>2388.3046001291686</v>
      </c>
      <c r="F40" s="137">
        <f>F38-F39</f>
        <v>1859.66800879623</v>
      </c>
      <c r="G40" s="137">
        <f>G38-G39</f>
        <v>1418.8464512289102</v>
      </c>
      <c r="H40" s="136"/>
      <c r="I40" s="145"/>
      <c r="J40" s="136"/>
      <c r="K40" s="139"/>
      <c r="L40" s="136"/>
      <c r="M40" s="136"/>
      <c r="N40" s="136"/>
      <c r="O40" s="136"/>
      <c r="P40" s="139"/>
      <c r="Q40" s="136"/>
      <c r="R40" s="136"/>
      <c r="S40" s="136"/>
      <c r="T40" s="136"/>
      <c r="U40" s="139"/>
      <c r="V40" s="136"/>
      <c r="W40" s="136"/>
      <c r="X40" s="136"/>
      <c r="Y40" s="136"/>
      <c r="Z40" s="139"/>
      <c r="AA40" s="136"/>
      <c r="AB40" s="147"/>
      <c r="AC40" s="136"/>
      <c r="AD40" s="136"/>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c r="CN40" s="139"/>
      <c r="CO40" s="139"/>
      <c r="CP40" s="139"/>
      <c r="CQ40" s="139"/>
      <c r="CR40" s="139"/>
      <c r="CS40" s="139"/>
      <c r="CT40" s="139"/>
    </row>
    <row r="41" spans="1:98" s="138" customFormat="1" x14ac:dyDescent="0.45">
      <c r="A41" s="136" t="str">
        <f>Dashboard_1!B54</f>
        <v>Post-establishment mortality rate</v>
      </c>
      <c r="B41" s="146"/>
      <c r="C41" s="137"/>
      <c r="D41" s="137"/>
      <c r="E41" s="137"/>
      <c r="F41" s="137"/>
      <c r="G41" s="137"/>
      <c r="H41" s="134">
        <f>Dashboard_1!H54*(B16-B14-B4-B15-B10-B12)</f>
        <v>755.19513047562668</v>
      </c>
      <c r="I41" s="145">
        <f>H41</f>
        <v>755.19513047562668</v>
      </c>
      <c r="J41" s="145">
        <f t="shared" ref="J41:AF42" si="33">I41</f>
        <v>755.19513047562668</v>
      </c>
      <c r="K41" s="145">
        <f t="shared" si="33"/>
        <v>755.19513047562668</v>
      </c>
      <c r="L41" s="145">
        <f t="shared" si="33"/>
        <v>755.19513047562668</v>
      </c>
      <c r="M41" s="145">
        <f t="shared" si="33"/>
        <v>755.19513047562668</v>
      </c>
      <c r="N41" s="145">
        <f t="shared" si="33"/>
        <v>755.19513047562668</v>
      </c>
      <c r="O41" s="145">
        <f t="shared" si="33"/>
        <v>755.19513047562668</v>
      </c>
      <c r="P41" s="145">
        <f t="shared" si="33"/>
        <v>755.19513047562668</v>
      </c>
      <c r="Q41" s="145">
        <f t="shared" si="33"/>
        <v>755.19513047562668</v>
      </c>
      <c r="R41" s="145">
        <f t="shared" si="33"/>
        <v>755.19513047562668</v>
      </c>
      <c r="S41" s="145">
        <f t="shared" si="33"/>
        <v>755.19513047562668</v>
      </c>
      <c r="T41" s="145">
        <f t="shared" si="33"/>
        <v>755.19513047562668</v>
      </c>
      <c r="U41" s="145">
        <f t="shared" si="33"/>
        <v>755.19513047562668</v>
      </c>
      <c r="V41" s="145">
        <f t="shared" si="33"/>
        <v>755.19513047562668</v>
      </c>
      <c r="W41" s="145">
        <f t="shared" si="33"/>
        <v>755.19513047562668</v>
      </c>
      <c r="X41" s="145">
        <f t="shared" si="33"/>
        <v>755.19513047562668</v>
      </c>
      <c r="Y41" s="145">
        <f t="shared" si="33"/>
        <v>755.19513047562668</v>
      </c>
      <c r="Z41" s="145">
        <f t="shared" si="33"/>
        <v>755.19513047562668</v>
      </c>
      <c r="AA41" s="145">
        <f t="shared" si="33"/>
        <v>755.19513047562668</v>
      </c>
      <c r="AB41" s="145">
        <f t="shared" si="33"/>
        <v>755.19513047562668</v>
      </c>
      <c r="AC41" s="145">
        <f t="shared" si="33"/>
        <v>755.19513047562668</v>
      </c>
      <c r="AD41" s="145">
        <f t="shared" si="33"/>
        <v>755.19513047562668</v>
      </c>
      <c r="AE41" s="145">
        <f t="shared" si="33"/>
        <v>755.19513047562668</v>
      </c>
      <c r="AF41" s="145">
        <f t="shared" si="33"/>
        <v>755.19513047562668</v>
      </c>
      <c r="AG41" s="145">
        <f t="shared" ref="AG41:AG42" si="34">AF41</f>
        <v>755.19513047562668</v>
      </c>
      <c r="AH41" s="145">
        <f t="shared" ref="AH41:AH42" si="35">AG41</f>
        <v>755.19513047562668</v>
      </c>
      <c r="AI41" s="145">
        <f t="shared" ref="AI41:AI42" si="36">AH41</f>
        <v>755.19513047562668</v>
      </c>
      <c r="AJ41" s="145">
        <f t="shared" ref="AJ41:AJ42" si="37">AI41</f>
        <v>755.19513047562668</v>
      </c>
      <c r="AK41" s="145">
        <f t="shared" ref="AK41:AK42" si="38">AJ41</f>
        <v>755.19513047562668</v>
      </c>
      <c r="AL41" s="145">
        <f t="shared" ref="AL41:AL42" si="39">AK41</f>
        <v>755.19513047562668</v>
      </c>
      <c r="AM41" s="145">
        <f t="shared" ref="AM41:AM42" si="40">AL41</f>
        <v>755.19513047562668</v>
      </c>
      <c r="AN41" s="145">
        <f t="shared" ref="AN41:AN42" si="41">AM41</f>
        <v>755.19513047562668</v>
      </c>
      <c r="AO41" s="145">
        <f t="shared" ref="AO41:AO42" si="42">AN41</f>
        <v>755.19513047562668</v>
      </c>
      <c r="AP41" s="145">
        <f t="shared" ref="AP41:AP42" si="43">AO41</f>
        <v>755.19513047562668</v>
      </c>
      <c r="AQ41" s="145">
        <f t="shared" ref="AQ41:AQ42" si="44">AP41</f>
        <v>755.19513047562668</v>
      </c>
      <c r="AR41" s="145">
        <f t="shared" ref="AR41:AR42" si="45">AQ41</f>
        <v>755.19513047562668</v>
      </c>
      <c r="AS41" s="145">
        <f t="shared" ref="AS41:AS42" si="46">AR41</f>
        <v>755.19513047562668</v>
      </c>
      <c r="AT41" s="145">
        <f t="shared" ref="AT41:AT42" si="47">AS41</f>
        <v>755.19513047562668</v>
      </c>
      <c r="AU41" s="145">
        <f t="shared" ref="AU41:AU42" si="48">AT41</f>
        <v>755.19513047562668</v>
      </c>
      <c r="AV41" s="145">
        <f t="shared" ref="AV41:AV42" si="49">AU41</f>
        <v>755.19513047562668</v>
      </c>
      <c r="AW41" s="145">
        <f t="shared" ref="AW41:AW42" si="50">AV41</f>
        <v>755.19513047562668</v>
      </c>
      <c r="AX41" s="145">
        <f t="shared" ref="AX41:AX42" si="51">AW41</f>
        <v>755.19513047562668</v>
      </c>
      <c r="AY41" s="145">
        <f t="shared" ref="AY41:AY42" si="52">AX41</f>
        <v>755.19513047562668</v>
      </c>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row>
    <row r="42" spans="1:98" s="138" customFormat="1" x14ac:dyDescent="0.45">
      <c r="A42" s="136" t="str">
        <f>Dashboard_1!B55</f>
        <v>Mortality rate due to accidents and vandalism</v>
      </c>
      <c r="B42" s="190"/>
      <c r="C42" s="137">
        <f>Dashboard_1!H55*(B16-B14-B4-B15-B10-B12)</f>
        <v>1132.79269571344</v>
      </c>
      <c r="D42" s="137">
        <f>C42</f>
        <v>1132.79269571344</v>
      </c>
      <c r="E42" s="137">
        <f t="shared" ref="E42:I42" si="53">D42</f>
        <v>1132.79269571344</v>
      </c>
      <c r="F42" s="137">
        <f t="shared" si="53"/>
        <v>1132.79269571344</v>
      </c>
      <c r="G42" s="137">
        <f t="shared" si="53"/>
        <v>1132.79269571344</v>
      </c>
      <c r="H42" s="137">
        <f t="shared" si="53"/>
        <v>1132.79269571344</v>
      </c>
      <c r="I42" s="137">
        <f t="shared" si="53"/>
        <v>1132.79269571344</v>
      </c>
      <c r="J42" s="137">
        <f t="shared" si="33"/>
        <v>1132.79269571344</v>
      </c>
      <c r="K42" s="137">
        <f t="shared" si="33"/>
        <v>1132.79269571344</v>
      </c>
      <c r="L42" s="137">
        <f t="shared" si="33"/>
        <v>1132.79269571344</v>
      </c>
      <c r="M42" s="137">
        <f t="shared" si="33"/>
        <v>1132.79269571344</v>
      </c>
      <c r="N42" s="137">
        <f t="shared" si="33"/>
        <v>1132.79269571344</v>
      </c>
      <c r="O42" s="137">
        <f t="shared" si="33"/>
        <v>1132.79269571344</v>
      </c>
      <c r="P42" s="137">
        <f t="shared" si="33"/>
        <v>1132.79269571344</v>
      </c>
      <c r="Q42" s="137">
        <f t="shared" si="33"/>
        <v>1132.79269571344</v>
      </c>
      <c r="R42" s="137">
        <f t="shared" si="33"/>
        <v>1132.79269571344</v>
      </c>
      <c r="S42" s="137">
        <f t="shared" si="33"/>
        <v>1132.79269571344</v>
      </c>
      <c r="T42" s="137">
        <f t="shared" si="33"/>
        <v>1132.79269571344</v>
      </c>
      <c r="U42" s="137">
        <f t="shared" si="33"/>
        <v>1132.79269571344</v>
      </c>
      <c r="V42" s="137">
        <f t="shared" si="33"/>
        <v>1132.79269571344</v>
      </c>
      <c r="W42" s="137">
        <f t="shared" si="33"/>
        <v>1132.79269571344</v>
      </c>
      <c r="X42" s="137">
        <f t="shared" si="33"/>
        <v>1132.79269571344</v>
      </c>
      <c r="Y42" s="137">
        <f t="shared" si="33"/>
        <v>1132.79269571344</v>
      </c>
      <c r="Z42" s="137">
        <f t="shared" si="33"/>
        <v>1132.79269571344</v>
      </c>
      <c r="AA42" s="137">
        <f t="shared" si="33"/>
        <v>1132.79269571344</v>
      </c>
      <c r="AB42" s="137">
        <f t="shared" si="33"/>
        <v>1132.79269571344</v>
      </c>
      <c r="AC42" s="137">
        <f t="shared" si="33"/>
        <v>1132.79269571344</v>
      </c>
      <c r="AD42" s="137">
        <f t="shared" si="33"/>
        <v>1132.79269571344</v>
      </c>
      <c r="AE42" s="137">
        <f t="shared" si="33"/>
        <v>1132.79269571344</v>
      </c>
      <c r="AF42" s="137">
        <f t="shared" si="33"/>
        <v>1132.79269571344</v>
      </c>
      <c r="AG42" s="137">
        <f t="shared" si="34"/>
        <v>1132.79269571344</v>
      </c>
      <c r="AH42" s="137">
        <f t="shared" si="35"/>
        <v>1132.79269571344</v>
      </c>
      <c r="AI42" s="137">
        <f t="shared" si="36"/>
        <v>1132.79269571344</v>
      </c>
      <c r="AJ42" s="137">
        <f t="shared" si="37"/>
        <v>1132.79269571344</v>
      </c>
      <c r="AK42" s="137">
        <f t="shared" si="38"/>
        <v>1132.79269571344</v>
      </c>
      <c r="AL42" s="137">
        <f t="shared" si="39"/>
        <v>1132.79269571344</v>
      </c>
      <c r="AM42" s="137">
        <f t="shared" si="40"/>
        <v>1132.79269571344</v>
      </c>
      <c r="AN42" s="137">
        <f t="shared" si="41"/>
        <v>1132.79269571344</v>
      </c>
      <c r="AO42" s="137">
        <f t="shared" si="42"/>
        <v>1132.79269571344</v>
      </c>
      <c r="AP42" s="137">
        <f t="shared" si="43"/>
        <v>1132.79269571344</v>
      </c>
      <c r="AQ42" s="137">
        <f t="shared" si="44"/>
        <v>1132.79269571344</v>
      </c>
      <c r="AR42" s="137">
        <f t="shared" si="45"/>
        <v>1132.79269571344</v>
      </c>
      <c r="AS42" s="137">
        <f t="shared" si="46"/>
        <v>1132.79269571344</v>
      </c>
      <c r="AT42" s="137">
        <f t="shared" si="47"/>
        <v>1132.79269571344</v>
      </c>
      <c r="AU42" s="137">
        <f t="shared" si="48"/>
        <v>1132.79269571344</v>
      </c>
      <c r="AV42" s="137">
        <f t="shared" si="49"/>
        <v>1132.79269571344</v>
      </c>
      <c r="AW42" s="137">
        <f t="shared" si="50"/>
        <v>1132.79269571344</v>
      </c>
      <c r="AX42" s="137">
        <f t="shared" si="51"/>
        <v>1132.79269571344</v>
      </c>
      <c r="AY42" s="137">
        <f t="shared" si="52"/>
        <v>1132.79269571344</v>
      </c>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row>
    <row r="43" spans="1:98" s="138" customFormat="1" x14ac:dyDescent="0.45">
      <c r="A43" s="143" t="s">
        <v>84</v>
      </c>
      <c r="B43" s="62">
        <f>B38-B40+B41</f>
        <v>0</v>
      </c>
      <c r="C43" s="62">
        <f>C38-C40+C41+C10+C42</f>
        <v>3020.7805219025067</v>
      </c>
      <c r="D43" s="62">
        <f>D38-D40+D41+D10+D42</f>
        <v>2926.3811305930535</v>
      </c>
      <c r="E43" s="62">
        <f t="shared" ref="E43:F43" si="54">E38-E40+E41+E10+E42</f>
        <v>2836.7017088490725</v>
      </c>
      <c r="F43" s="62">
        <f t="shared" si="54"/>
        <v>2751.5062581922907</v>
      </c>
      <c r="G43" s="62">
        <f>G38-G40+G41+G10+G42</f>
        <v>2670.5705800683481</v>
      </c>
      <c r="H43" s="62">
        <f>(H38-H40)+H41+H10+H42</f>
        <v>1887.9878261890667</v>
      </c>
      <c r="I43" s="62">
        <f t="shared" ref="I43:AE43" si="55">(I38-I40)+I41+I10+I42</f>
        <v>1887.9878261890667</v>
      </c>
      <c r="J43" s="62">
        <f t="shared" si="55"/>
        <v>1887.9878261890667</v>
      </c>
      <c r="K43" s="62">
        <f t="shared" si="55"/>
        <v>1887.9878261890667</v>
      </c>
      <c r="L43" s="62">
        <f t="shared" si="55"/>
        <v>1887.9878261890667</v>
      </c>
      <c r="M43" s="62">
        <f t="shared" si="55"/>
        <v>1887.9878261890667</v>
      </c>
      <c r="N43" s="62">
        <f t="shared" si="55"/>
        <v>1887.9878261890667</v>
      </c>
      <c r="O43" s="62">
        <f t="shared" si="55"/>
        <v>1887.9878261890667</v>
      </c>
      <c r="P43" s="62">
        <f t="shared" si="55"/>
        <v>1887.9878261890667</v>
      </c>
      <c r="Q43" s="62">
        <f t="shared" si="55"/>
        <v>1887.9878261890667</v>
      </c>
      <c r="R43" s="62">
        <f t="shared" si="55"/>
        <v>1887.9878261890667</v>
      </c>
      <c r="S43" s="62">
        <f t="shared" si="55"/>
        <v>1887.9878261890667</v>
      </c>
      <c r="T43" s="62">
        <f t="shared" si="55"/>
        <v>1887.9878261890667</v>
      </c>
      <c r="U43" s="62">
        <f t="shared" si="55"/>
        <v>1887.9878261890667</v>
      </c>
      <c r="V43" s="62">
        <f t="shared" si="55"/>
        <v>1887.9878261890667</v>
      </c>
      <c r="W43" s="62">
        <f t="shared" si="55"/>
        <v>1887.9878261890667</v>
      </c>
      <c r="X43" s="62">
        <f t="shared" si="55"/>
        <v>1887.9878261890667</v>
      </c>
      <c r="Y43" s="62">
        <f t="shared" si="55"/>
        <v>1887.9878261890667</v>
      </c>
      <c r="Z43" s="62">
        <f t="shared" si="55"/>
        <v>1887.9878261890667</v>
      </c>
      <c r="AA43" s="62">
        <f t="shared" si="55"/>
        <v>1887.9878261890667</v>
      </c>
      <c r="AB43" s="62">
        <f t="shared" si="55"/>
        <v>1887.9878261890667</v>
      </c>
      <c r="AC43" s="62">
        <f t="shared" si="55"/>
        <v>1887.9878261890667</v>
      </c>
      <c r="AD43" s="62">
        <f t="shared" si="55"/>
        <v>1887.9878261890667</v>
      </c>
      <c r="AE43" s="62">
        <f t="shared" si="55"/>
        <v>1887.9878261890667</v>
      </c>
      <c r="AF43" s="62">
        <f>(AF38-AF40)+AF41+AF10+AF42</f>
        <v>1887.9878261890667</v>
      </c>
      <c r="AG43" s="62">
        <f t="shared" ref="AG43:AH43" si="56">(AG38-AG40)+AG41+AG10+AG42</f>
        <v>1887.9878261890667</v>
      </c>
      <c r="AH43" s="62">
        <f t="shared" si="56"/>
        <v>1887.9878261890667</v>
      </c>
      <c r="AI43" s="62">
        <f t="shared" ref="AI43:AJ43" si="57">(AI38-AI40)+AI41+AI10+AI42</f>
        <v>1887.9878261890667</v>
      </c>
      <c r="AJ43" s="62">
        <f t="shared" si="57"/>
        <v>1887.9878261890667</v>
      </c>
      <c r="AK43" s="62">
        <f t="shared" ref="AK43:AL43" si="58">(AK38-AK40)+AK41+AK10+AK42</f>
        <v>1887.9878261890667</v>
      </c>
      <c r="AL43" s="62">
        <f t="shared" si="58"/>
        <v>1887.9878261890667</v>
      </c>
      <c r="AM43" s="62">
        <f t="shared" ref="AM43:AN43" si="59">(AM38-AM40)+AM41+AM10+AM42</f>
        <v>1887.9878261890667</v>
      </c>
      <c r="AN43" s="62">
        <f t="shared" si="59"/>
        <v>1887.9878261890667</v>
      </c>
      <c r="AO43" s="62">
        <f t="shared" ref="AO43:AP43" si="60">(AO38-AO40)+AO41+AO10+AO42</f>
        <v>1887.9878261890667</v>
      </c>
      <c r="AP43" s="62">
        <f t="shared" si="60"/>
        <v>1887.9878261890667</v>
      </c>
      <c r="AQ43" s="62">
        <f t="shared" ref="AQ43:AR43" si="61">(AQ38-AQ40)+AQ41+AQ10+AQ42</f>
        <v>1887.9878261890667</v>
      </c>
      <c r="AR43" s="62">
        <f t="shared" si="61"/>
        <v>1887.9878261890667</v>
      </c>
      <c r="AS43" s="62">
        <f t="shared" ref="AS43:AT43" si="62">(AS38-AS40)+AS41+AS10+AS42</f>
        <v>1887.9878261890667</v>
      </c>
      <c r="AT43" s="62">
        <f t="shared" si="62"/>
        <v>1887.9878261890667</v>
      </c>
      <c r="AU43" s="62">
        <f t="shared" ref="AU43:AV43" si="63">(AU38-AU40)+AU41+AU10+AU42</f>
        <v>1887.9878261890667</v>
      </c>
      <c r="AV43" s="62">
        <f t="shared" si="63"/>
        <v>1887.9878261890667</v>
      </c>
      <c r="AW43" s="62">
        <f t="shared" ref="AW43:AX43" si="64">(AW38-AW40)+AW41+AW10+AW42</f>
        <v>1887.9878261890667</v>
      </c>
      <c r="AX43" s="62">
        <f t="shared" si="64"/>
        <v>1887.9878261890667</v>
      </c>
      <c r="AY43" s="62">
        <f t="shared" ref="AY43" si="65">(AY38-AY40)+AY41+AY10+AY42</f>
        <v>1887.9878261890667</v>
      </c>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row>
    <row r="44" spans="1:98" s="138" customFormat="1" x14ac:dyDescent="0.45">
      <c r="A44" s="136"/>
      <c r="B44" s="136"/>
      <c r="C44" s="137"/>
      <c r="D44" s="136"/>
      <c r="E44" s="136"/>
      <c r="F44" s="137"/>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row>
    <row r="45" spans="1:98" s="138" customFormat="1" ht="14.65" thickBot="1" x14ac:dyDescent="0.5">
      <c r="A45" s="150" t="s">
        <v>119</v>
      </c>
      <c r="B45" s="151">
        <f>B16+B35+B43</f>
        <v>67492.423190447997</v>
      </c>
      <c r="C45" s="151">
        <f>C16+C35+C43</f>
        <v>11660.780521902507</v>
      </c>
      <c r="D45" s="151">
        <f t="shared" ref="D45:AF45" si="66">D16+D35+D43</f>
        <v>10006.381130593054</v>
      </c>
      <c r="E45" s="151">
        <f t="shared" si="66"/>
        <v>9916.701708849072</v>
      </c>
      <c r="F45" s="151">
        <f t="shared" si="66"/>
        <v>9831.5062581922903</v>
      </c>
      <c r="G45" s="151">
        <f t="shared" si="66"/>
        <v>9750.5705800683481</v>
      </c>
      <c r="H45" s="151">
        <f t="shared" si="66"/>
        <v>8967.9878261890663</v>
      </c>
      <c r="I45" s="151">
        <f t="shared" si="66"/>
        <v>8967.9878261890663</v>
      </c>
      <c r="J45" s="151">
        <f t="shared" si="66"/>
        <v>8967.9878261890663</v>
      </c>
      <c r="K45" s="151">
        <f t="shared" si="66"/>
        <v>8967.9878261890663</v>
      </c>
      <c r="L45" s="151">
        <f t="shared" si="66"/>
        <v>8967.9878261890663</v>
      </c>
      <c r="M45" s="151">
        <f t="shared" si="66"/>
        <v>8967.9878261890663</v>
      </c>
      <c r="N45" s="151">
        <f t="shared" si="66"/>
        <v>8967.9878261890663</v>
      </c>
      <c r="O45" s="151">
        <f t="shared" si="66"/>
        <v>8967.9878261890663</v>
      </c>
      <c r="P45" s="151">
        <f t="shared" si="66"/>
        <v>8967.9878261890663</v>
      </c>
      <c r="Q45" s="151">
        <f t="shared" si="66"/>
        <v>8967.9878261890663</v>
      </c>
      <c r="R45" s="151">
        <f t="shared" si="66"/>
        <v>8967.9878261890663</v>
      </c>
      <c r="S45" s="151">
        <f t="shared" si="66"/>
        <v>8967.9878261890663</v>
      </c>
      <c r="T45" s="151">
        <f t="shared" si="66"/>
        <v>8967.9878261890663</v>
      </c>
      <c r="U45" s="151">
        <f t="shared" si="66"/>
        <v>8967.9878261890663</v>
      </c>
      <c r="V45" s="151">
        <f t="shared" si="66"/>
        <v>8967.9878261890663</v>
      </c>
      <c r="W45" s="151">
        <f t="shared" si="66"/>
        <v>8967.9878261890663</v>
      </c>
      <c r="X45" s="151">
        <f t="shared" si="66"/>
        <v>8967.9878261890663</v>
      </c>
      <c r="Y45" s="151">
        <f t="shared" si="66"/>
        <v>8967.9878261890663</v>
      </c>
      <c r="Z45" s="151">
        <f t="shared" si="66"/>
        <v>8967.9878261890663</v>
      </c>
      <c r="AA45" s="151">
        <f t="shared" si="66"/>
        <v>8967.9878261890663</v>
      </c>
      <c r="AB45" s="151">
        <f t="shared" si="66"/>
        <v>8967.9878261890663</v>
      </c>
      <c r="AC45" s="151">
        <f t="shared" si="66"/>
        <v>8967.9878261890663</v>
      </c>
      <c r="AD45" s="151">
        <f t="shared" si="66"/>
        <v>8967.9878261890663</v>
      </c>
      <c r="AE45" s="151">
        <f t="shared" si="66"/>
        <v>8967.9878261890663</v>
      </c>
      <c r="AF45" s="151">
        <f t="shared" si="66"/>
        <v>8967.9878261890663</v>
      </c>
      <c r="AG45" s="151">
        <f t="shared" ref="AG45:AY45" si="67">AG16+AG35+AG43</f>
        <v>8967.9878261890663</v>
      </c>
      <c r="AH45" s="151">
        <f t="shared" si="67"/>
        <v>8967.9878261890663</v>
      </c>
      <c r="AI45" s="151">
        <f t="shared" si="67"/>
        <v>8967.9878261890663</v>
      </c>
      <c r="AJ45" s="151">
        <f t="shared" si="67"/>
        <v>8967.9878261890663</v>
      </c>
      <c r="AK45" s="151">
        <f t="shared" si="67"/>
        <v>8967.9878261890663</v>
      </c>
      <c r="AL45" s="151">
        <f t="shared" si="67"/>
        <v>8967.9878261890663</v>
      </c>
      <c r="AM45" s="151">
        <f t="shared" si="67"/>
        <v>8967.9878261890663</v>
      </c>
      <c r="AN45" s="151">
        <f t="shared" si="67"/>
        <v>8967.9878261890663</v>
      </c>
      <c r="AO45" s="151">
        <f t="shared" si="67"/>
        <v>8967.9878261890663</v>
      </c>
      <c r="AP45" s="151">
        <f t="shared" si="67"/>
        <v>8967.9878261890663</v>
      </c>
      <c r="AQ45" s="151">
        <f t="shared" si="67"/>
        <v>8967.9878261890663</v>
      </c>
      <c r="AR45" s="151">
        <f t="shared" si="67"/>
        <v>8967.9878261890663</v>
      </c>
      <c r="AS45" s="151">
        <f t="shared" si="67"/>
        <v>8967.9878261890663</v>
      </c>
      <c r="AT45" s="151">
        <f t="shared" si="67"/>
        <v>8967.9878261890663</v>
      </c>
      <c r="AU45" s="151">
        <f t="shared" si="67"/>
        <v>8967.9878261890663</v>
      </c>
      <c r="AV45" s="151">
        <f t="shared" si="67"/>
        <v>8967.9878261890663</v>
      </c>
      <c r="AW45" s="151">
        <f t="shared" si="67"/>
        <v>8967.9878261890663</v>
      </c>
      <c r="AX45" s="151">
        <f t="shared" si="67"/>
        <v>8967.9878261890663</v>
      </c>
      <c r="AY45" s="151">
        <f t="shared" si="67"/>
        <v>8967.9878261890663</v>
      </c>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row>
    <row r="46" spans="1:98" s="138" customFormat="1" x14ac:dyDescent="0.45">
      <c r="A46" s="136"/>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10"/>
      <c r="CT46" s="210"/>
    </row>
    <row r="47" spans="1:98" s="138" customFormat="1" x14ac:dyDescent="0.45">
      <c r="A47" s="45" t="s">
        <v>113</v>
      </c>
      <c r="B47" s="218" t="s">
        <v>85</v>
      </c>
      <c r="C47" s="218" t="s">
        <v>85</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row>
    <row r="48" spans="1:98" s="138" customFormat="1" x14ac:dyDescent="0.45">
      <c r="A48"/>
      <c r="B48" s="219" t="s">
        <v>91</v>
      </c>
      <c r="C48" s="219" t="s">
        <v>92</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row>
    <row r="49" spans="1:98" s="138" customFormat="1" x14ac:dyDescent="0.45">
      <c r="A49" t="s">
        <v>86</v>
      </c>
      <c r="B49" s="134">
        <f>IF(Dashboard_1!H59=Data_Lists!B11,B16+NPV(Dashboard_1!$H$57,Model_1!C16:F16),IF(Dashboard_1!H59=Data_Lists!B12,B16+NPV(Dashboard_1!$H$57,C16:K16),IF(Dashboard_1!H59=Data_Lists!B13,B16+NPV(Dashboard_1!$H$57,C16:U16),IF(Dashboard_1!H59=Data_Lists!B14,B16+NPV(Dashboard_1!$H$57,C16:AE16),IF(Dashboard_1!H59=Data_Lists!B15,B16+NPV(Dashboard_1!$H$57,C16:AO16),IF(Dashboard_1!H59=Data_Lists!B16,B16+NPV(Dashboard_1!$H$57,C16:AY16)))))))</f>
        <v>38009.756523781332</v>
      </c>
      <c r="C49" s="220">
        <f>B49/B$52</f>
        <v>0.20768856786542225</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row>
    <row r="50" spans="1:98" s="138" customFormat="1" x14ac:dyDescent="0.45">
      <c r="A50" t="s">
        <v>296</v>
      </c>
      <c r="B50" s="134">
        <f>IF(Dashboard_1!H59=Data_Lists!B11,B35+NPV(Dashboard_1!$H$57,Model_1!C35:F35),IF(Dashboard_1!H59=Data_Lists!B12,B35+NPV(Dashboard_1!$H$57,C35:K35),IF(Dashboard_1!H59=Data_Lists!B13,B35+NPV(Dashboard_1!$H$57,C35:U35),IF(Dashboard_1!H59=Data_Lists!B14,B35+NPV(Dashboard_1!$H$57,C35:AE35),IF(Dashboard_1!H59=Data_Lists!B15,B35+NPV(Dashboard_1!$H$57,C35:AO35),IF(Dashboard_1!H59=Data_Lists!B16,B35+NPV(Dashboard_1!$H$57,C35:AY35)))))))</f>
        <v>117866.54298166721</v>
      </c>
      <c r="C50" s="220">
        <f>B50/B$52</f>
        <v>0.64403289444368683</v>
      </c>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row>
    <row r="51" spans="1:98" s="138" customFormat="1" x14ac:dyDescent="0.45">
      <c r="A51" t="s">
        <v>88</v>
      </c>
      <c r="B51" s="134">
        <f>IF(Dashboard_1!H59=Data_Lists!B11,B43+NPV(Dashboard_1!$H$57,C43:F43),IF(Dashboard_1!H59=Data_Lists!B12,B43+NPV(Dashboard_1!$H$57,C43:K43),IF(Dashboard_1!H59=Data_Lists!B13,B43+NPV(Dashboard_1!$H$57,C43:U43),IF(Dashboard_1!H59=Data_Lists!B14,B43+NPV(Dashboard_1!$H$57,C43:AE43),IF(Dashboard_1!H59=Data_Lists!B15,B43+NPV(Dashboard_1!$H$57,C43:AO43),IF(Dashboard_1!H59=Data_Lists!B16,B43+NPV(Dashboard_1!$H$57,C43:AY43)))))))</f>
        <v>27136.934754083923</v>
      </c>
      <c r="C51" s="220">
        <f>B51/B$52</f>
        <v>0.14827853769089086</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row>
    <row r="52" spans="1:98" s="138" customFormat="1" ht="14.65" thickBot="1" x14ac:dyDescent="0.5">
      <c r="A52" s="43" t="s">
        <v>114</v>
      </c>
      <c r="B52" s="221">
        <f>SUM(B49:B51)</f>
        <v>183013.23425953247</v>
      </c>
      <c r="C52" s="222">
        <f>B52/B$52</f>
        <v>1</v>
      </c>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row>
    <row r="53" spans="1:98" s="138" customFormat="1" x14ac:dyDescent="0.45">
      <c r="A53"/>
      <c r="B53" s="136" t="s">
        <v>89</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row>
    <row r="54" spans="1:98" s="138" customFormat="1" x14ac:dyDescent="0.45">
      <c r="A54" t="s">
        <v>122</v>
      </c>
      <c r="B54" s="136">
        <v>0</v>
      </c>
      <c r="C54" s="223">
        <f>B54+1</f>
        <v>1</v>
      </c>
      <c r="D54" s="223">
        <f t="shared" ref="D54:AF54" si="68">C54+1</f>
        <v>2</v>
      </c>
      <c r="E54" s="223">
        <f t="shared" si="68"/>
        <v>3</v>
      </c>
      <c r="F54" s="223">
        <f t="shared" si="68"/>
        <v>4</v>
      </c>
      <c r="G54" s="223">
        <f t="shared" si="68"/>
        <v>5</v>
      </c>
      <c r="H54" s="223">
        <f t="shared" si="68"/>
        <v>6</v>
      </c>
      <c r="I54" s="223">
        <f t="shared" si="68"/>
        <v>7</v>
      </c>
      <c r="J54" s="223">
        <f t="shared" si="68"/>
        <v>8</v>
      </c>
      <c r="K54" s="223">
        <f t="shared" si="68"/>
        <v>9</v>
      </c>
      <c r="L54" s="223">
        <f t="shared" si="68"/>
        <v>10</v>
      </c>
      <c r="M54" s="223">
        <f t="shared" si="68"/>
        <v>11</v>
      </c>
      <c r="N54" s="223">
        <f t="shared" si="68"/>
        <v>12</v>
      </c>
      <c r="O54" s="223">
        <f t="shared" si="68"/>
        <v>13</v>
      </c>
      <c r="P54" s="223">
        <f t="shared" si="68"/>
        <v>14</v>
      </c>
      <c r="Q54" s="223">
        <f t="shared" si="68"/>
        <v>15</v>
      </c>
      <c r="R54" s="223">
        <f t="shared" si="68"/>
        <v>16</v>
      </c>
      <c r="S54" s="223">
        <f t="shared" si="68"/>
        <v>17</v>
      </c>
      <c r="T54" s="223">
        <f t="shared" si="68"/>
        <v>18</v>
      </c>
      <c r="U54" s="223">
        <f t="shared" si="68"/>
        <v>19</v>
      </c>
      <c r="V54" s="223">
        <f t="shared" si="68"/>
        <v>20</v>
      </c>
      <c r="W54" s="223">
        <f t="shared" si="68"/>
        <v>21</v>
      </c>
      <c r="X54" s="223">
        <f t="shared" si="68"/>
        <v>22</v>
      </c>
      <c r="Y54" s="223">
        <f t="shared" si="68"/>
        <v>23</v>
      </c>
      <c r="Z54" s="223">
        <f t="shared" si="68"/>
        <v>24</v>
      </c>
      <c r="AA54" s="223">
        <f t="shared" si="68"/>
        <v>25</v>
      </c>
      <c r="AB54" s="223">
        <f t="shared" si="68"/>
        <v>26</v>
      </c>
      <c r="AC54" s="223">
        <f t="shared" si="68"/>
        <v>27</v>
      </c>
      <c r="AD54" s="223">
        <f t="shared" si="68"/>
        <v>28</v>
      </c>
      <c r="AE54" s="223">
        <f t="shared" si="68"/>
        <v>29</v>
      </c>
      <c r="AF54" s="223">
        <f t="shared" si="68"/>
        <v>30</v>
      </c>
      <c r="AG54" s="223">
        <f t="shared" ref="AG54" si="69">AF54+1</f>
        <v>31</v>
      </c>
      <c r="AH54" s="223">
        <f t="shared" ref="AH54" si="70">AG54+1</f>
        <v>32</v>
      </c>
      <c r="AI54" s="223">
        <f t="shared" ref="AI54" si="71">AH54+1</f>
        <v>33</v>
      </c>
      <c r="AJ54" s="223">
        <f t="shared" ref="AJ54" si="72">AI54+1</f>
        <v>34</v>
      </c>
      <c r="AK54" s="223">
        <f t="shared" ref="AK54" si="73">AJ54+1</f>
        <v>35</v>
      </c>
      <c r="AL54" s="223">
        <f t="shared" ref="AL54" si="74">AK54+1</f>
        <v>36</v>
      </c>
      <c r="AM54" s="223">
        <f t="shared" ref="AM54" si="75">AL54+1</f>
        <v>37</v>
      </c>
      <c r="AN54" s="223">
        <f t="shared" ref="AN54" si="76">AM54+1</f>
        <v>38</v>
      </c>
      <c r="AO54" s="223">
        <f t="shared" ref="AO54" si="77">AN54+1</f>
        <v>39</v>
      </c>
      <c r="AP54" s="223">
        <f t="shared" ref="AP54" si="78">AO54+1</f>
        <v>40</v>
      </c>
      <c r="AQ54" s="223">
        <f t="shared" ref="AQ54" si="79">AP54+1</f>
        <v>41</v>
      </c>
      <c r="AR54" s="223">
        <f t="shared" ref="AR54" si="80">AQ54+1</f>
        <v>42</v>
      </c>
      <c r="AS54" s="223">
        <f t="shared" ref="AS54" si="81">AR54+1</f>
        <v>43</v>
      </c>
      <c r="AT54" s="223">
        <f t="shared" ref="AT54" si="82">AS54+1</f>
        <v>44</v>
      </c>
      <c r="AU54" s="223">
        <f t="shared" ref="AU54" si="83">AT54+1</f>
        <v>45</v>
      </c>
      <c r="AV54" s="223">
        <f t="shared" ref="AV54" si="84">AU54+1</f>
        <v>46</v>
      </c>
      <c r="AW54" s="223">
        <f t="shared" ref="AW54" si="85">AV54+1</f>
        <v>47</v>
      </c>
      <c r="AX54" s="223">
        <f t="shared" ref="AX54" si="86">AW54+1</f>
        <v>48</v>
      </c>
      <c r="AY54" s="223">
        <f t="shared" ref="AY54" si="87">AX54+1</f>
        <v>49</v>
      </c>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3"/>
      <c r="CC54" s="223"/>
      <c r="CD54" s="223"/>
      <c r="CE54" s="223"/>
      <c r="CF54" s="223"/>
      <c r="CG54" s="223"/>
      <c r="CH54" s="223"/>
      <c r="CI54" s="223"/>
      <c r="CJ54" s="223"/>
      <c r="CK54" s="223"/>
      <c r="CL54" s="223"/>
      <c r="CM54" s="223"/>
      <c r="CN54" s="223"/>
      <c r="CO54" s="223"/>
      <c r="CP54" s="223"/>
      <c r="CQ54" s="223"/>
      <c r="CR54" s="223"/>
      <c r="CS54" s="223"/>
      <c r="CT54" s="223"/>
    </row>
    <row r="55" spans="1:98" s="138" customFormat="1" x14ac:dyDescent="0.45">
      <c r="A55" s="45" t="s">
        <v>90</v>
      </c>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row>
    <row r="56" spans="1:98" s="138" customFormat="1" x14ac:dyDescent="0.45">
      <c r="A56"/>
      <c r="B56" s="225" t="str">
        <f t="shared" ref="B56:AF56" si="88">B2</f>
        <v>Year 1</v>
      </c>
      <c r="C56" s="225" t="str">
        <f t="shared" si="88"/>
        <v>Year 2</v>
      </c>
      <c r="D56" s="225" t="str">
        <f t="shared" si="88"/>
        <v>Year 3</v>
      </c>
      <c r="E56" s="225" t="str">
        <f t="shared" si="88"/>
        <v>Year 4</v>
      </c>
      <c r="F56" s="225" t="str">
        <f t="shared" si="88"/>
        <v>Year 5</v>
      </c>
      <c r="G56" s="225" t="str">
        <f t="shared" si="88"/>
        <v>Year 6</v>
      </c>
      <c r="H56" s="225" t="str">
        <f t="shared" si="88"/>
        <v>Year 7</v>
      </c>
      <c r="I56" s="225" t="str">
        <f t="shared" si="88"/>
        <v>Year 8</v>
      </c>
      <c r="J56" s="225" t="str">
        <f t="shared" si="88"/>
        <v>Year 9</v>
      </c>
      <c r="K56" s="225" t="str">
        <f t="shared" si="88"/>
        <v>Year 10</v>
      </c>
      <c r="L56" s="225" t="str">
        <f t="shared" si="88"/>
        <v>Year 11</v>
      </c>
      <c r="M56" s="225" t="str">
        <f t="shared" si="88"/>
        <v>Year 12</v>
      </c>
      <c r="N56" s="225" t="str">
        <f t="shared" si="88"/>
        <v>Year 13</v>
      </c>
      <c r="O56" s="225" t="str">
        <f t="shared" si="88"/>
        <v>Year 14</v>
      </c>
      <c r="P56" s="225" t="str">
        <f t="shared" si="88"/>
        <v>Year 15</v>
      </c>
      <c r="Q56" s="225" t="str">
        <f t="shared" si="88"/>
        <v>Year 16</v>
      </c>
      <c r="R56" s="225" t="str">
        <f t="shared" si="88"/>
        <v>Year 17</v>
      </c>
      <c r="S56" s="225" t="str">
        <f t="shared" si="88"/>
        <v>Year 18</v>
      </c>
      <c r="T56" s="225" t="str">
        <f t="shared" si="88"/>
        <v>Year 19</v>
      </c>
      <c r="U56" s="225" t="str">
        <f t="shared" si="88"/>
        <v>Year 20</v>
      </c>
      <c r="V56" s="225" t="str">
        <f t="shared" si="88"/>
        <v>Year 21</v>
      </c>
      <c r="W56" s="225" t="str">
        <f t="shared" si="88"/>
        <v>Year 22</v>
      </c>
      <c r="X56" s="225" t="str">
        <f t="shared" si="88"/>
        <v>Year 23</v>
      </c>
      <c r="Y56" s="225" t="str">
        <f t="shared" si="88"/>
        <v>Year 24</v>
      </c>
      <c r="Z56" s="225" t="str">
        <f t="shared" si="88"/>
        <v>Year 25</v>
      </c>
      <c r="AA56" s="225" t="str">
        <f t="shared" si="88"/>
        <v>Year 26</v>
      </c>
      <c r="AB56" s="225" t="str">
        <f t="shared" si="88"/>
        <v>Year 27</v>
      </c>
      <c r="AC56" s="225" t="str">
        <f t="shared" si="88"/>
        <v>Year 28</v>
      </c>
      <c r="AD56" s="225" t="str">
        <f t="shared" si="88"/>
        <v>Year 29</v>
      </c>
      <c r="AE56" s="225" t="str">
        <f t="shared" si="88"/>
        <v>Year 30</v>
      </c>
      <c r="AF56" s="225" t="str">
        <f t="shared" si="88"/>
        <v>Year 31</v>
      </c>
      <c r="AG56" s="225" t="str">
        <f t="shared" ref="AG56:AY56" si="89">AG2</f>
        <v>Year 32</v>
      </c>
      <c r="AH56" s="225" t="str">
        <f t="shared" si="89"/>
        <v>Year 33</v>
      </c>
      <c r="AI56" s="225" t="str">
        <f t="shared" si="89"/>
        <v>Year 34</v>
      </c>
      <c r="AJ56" s="225" t="str">
        <f t="shared" si="89"/>
        <v>Year 35</v>
      </c>
      <c r="AK56" s="225" t="str">
        <f t="shared" si="89"/>
        <v>Year 36</v>
      </c>
      <c r="AL56" s="225" t="str">
        <f t="shared" si="89"/>
        <v>Year 37</v>
      </c>
      <c r="AM56" s="225" t="str">
        <f t="shared" si="89"/>
        <v>Year 38</v>
      </c>
      <c r="AN56" s="225" t="str">
        <f t="shared" si="89"/>
        <v>Year 39</v>
      </c>
      <c r="AO56" s="225" t="str">
        <f t="shared" si="89"/>
        <v>Year 40</v>
      </c>
      <c r="AP56" s="225" t="str">
        <f t="shared" si="89"/>
        <v>Year 41</v>
      </c>
      <c r="AQ56" s="225" t="str">
        <f t="shared" si="89"/>
        <v>Year 42</v>
      </c>
      <c r="AR56" s="225" t="str">
        <f t="shared" si="89"/>
        <v>Year 43</v>
      </c>
      <c r="AS56" s="225" t="str">
        <f t="shared" si="89"/>
        <v>Year 44</v>
      </c>
      <c r="AT56" s="225" t="str">
        <f t="shared" si="89"/>
        <v>Year 45</v>
      </c>
      <c r="AU56" s="225" t="str">
        <f t="shared" si="89"/>
        <v>Year 46</v>
      </c>
      <c r="AV56" s="225" t="str">
        <f t="shared" si="89"/>
        <v>Year 47</v>
      </c>
      <c r="AW56" s="225" t="str">
        <f t="shared" si="89"/>
        <v>Year 48</v>
      </c>
      <c r="AX56" s="225" t="str">
        <f t="shared" si="89"/>
        <v>Year 49</v>
      </c>
      <c r="AY56" s="225" t="str">
        <f t="shared" si="89"/>
        <v>Year 50</v>
      </c>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6"/>
      <c r="CK56" s="226"/>
      <c r="CL56" s="226"/>
      <c r="CM56" s="226"/>
      <c r="CN56" s="226"/>
      <c r="CO56" s="226"/>
      <c r="CP56" s="226"/>
      <c r="CQ56" s="226"/>
      <c r="CR56" s="226"/>
      <c r="CS56" s="226"/>
      <c r="CT56" s="226"/>
    </row>
    <row r="57" spans="1:98" s="138" customFormat="1" x14ac:dyDescent="0.45">
      <c r="A57" s="41" t="str">
        <f t="shared" ref="A57:A68" si="90">A4</f>
        <v>Concrete cutting ($)</v>
      </c>
      <c r="B57" s="134">
        <f>B4*(1+Dashboard_1!$H$58)^Model_1!B$54</f>
        <v>0</v>
      </c>
      <c r="C57" s="134">
        <f>C4*(1+Dashboard_1!$H$58)^Model_1!C$54</f>
        <v>0</v>
      </c>
      <c r="D57" s="134">
        <f>D4*(1+Dashboard_1!$H$58)^Model_1!D$54</f>
        <v>0</v>
      </c>
      <c r="E57" s="134">
        <f>E4*(1+Dashboard_1!$H$58)^Model_1!E$54</f>
        <v>0</v>
      </c>
      <c r="F57" s="134">
        <f>F4*(1+Dashboard_1!$H$58)^Model_1!F$54</f>
        <v>0</v>
      </c>
      <c r="G57" s="134">
        <f>G4*(1+Dashboard_1!$H$58)^Model_1!G$54</f>
        <v>0</v>
      </c>
      <c r="H57" s="134">
        <f>H4*(1+Dashboard_1!$H$58)^Model_1!H$54</f>
        <v>0</v>
      </c>
      <c r="I57" s="134">
        <f>I4*(1+Dashboard_1!$H$58)^Model_1!I$54</f>
        <v>0</v>
      </c>
      <c r="J57" s="134">
        <f>J4*(1+Dashboard_1!$H$58)^Model_1!J$54</f>
        <v>0</v>
      </c>
      <c r="K57" s="134">
        <f>K4*(1+Dashboard_1!$H$58)^Model_1!K$54</f>
        <v>0</v>
      </c>
      <c r="L57" s="134">
        <f>L4*(1+Dashboard_1!$H$58)^Model_1!L$54</f>
        <v>0</v>
      </c>
      <c r="M57" s="134">
        <f>M4*(1+Dashboard_1!$H$58)^Model_1!M$54</f>
        <v>0</v>
      </c>
      <c r="N57" s="134">
        <f>N4*(1+Dashboard_1!$H$58)^Model_1!N$54</f>
        <v>0</v>
      </c>
      <c r="O57" s="134">
        <f>O4*(1+Dashboard_1!$H$58)^Model_1!O$54</f>
        <v>0</v>
      </c>
      <c r="P57" s="134">
        <f>P4*(1+Dashboard_1!$H$58)^Model_1!P$54</f>
        <v>0</v>
      </c>
      <c r="Q57" s="134">
        <f>Q4*(1+Dashboard_1!$H$58)^Model_1!Q$54</f>
        <v>0</v>
      </c>
      <c r="R57" s="134">
        <f>R4*(1+Dashboard_1!$H$58)^Model_1!R$54</f>
        <v>0</v>
      </c>
      <c r="S57" s="134">
        <f>S4*(1+Dashboard_1!$H$58)^Model_1!S$54</f>
        <v>0</v>
      </c>
      <c r="T57" s="134">
        <f>T4*(1+Dashboard_1!$H$58)^Model_1!T$54</f>
        <v>0</v>
      </c>
      <c r="U57" s="134">
        <f>U4*(1+Dashboard_1!$H$58)^Model_1!U$54</f>
        <v>0</v>
      </c>
      <c r="V57" s="134">
        <f>V4*(1+Dashboard_1!$H$58)^Model_1!V$54</f>
        <v>0</v>
      </c>
      <c r="W57" s="134">
        <f>W4*(1+Dashboard_1!$H$58)^Model_1!W$54</f>
        <v>0</v>
      </c>
      <c r="X57" s="134">
        <f>X4*(1+Dashboard_1!$H$58)^Model_1!X$54</f>
        <v>0</v>
      </c>
      <c r="Y57" s="134">
        <f>Y4*(1+Dashboard_1!$H$58)^Model_1!Y$54</f>
        <v>0</v>
      </c>
      <c r="Z57" s="134">
        <f>Z4*(1+Dashboard_1!$H$58)^Model_1!Z$54</f>
        <v>0</v>
      </c>
      <c r="AA57" s="134">
        <f>AA4*(1+Dashboard_1!$H$58)^Model_1!AA$54</f>
        <v>0</v>
      </c>
      <c r="AB57" s="134">
        <f>AB4*(1+Dashboard_1!$H$58)^Model_1!AB$54</f>
        <v>0</v>
      </c>
      <c r="AC57" s="134">
        <f>AC4*(1+Dashboard_1!$H$58)^Model_1!AC$54</f>
        <v>0</v>
      </c>
      <c r="AD57" s="134">
        <f>AD4*(1+Dashboard_1!$H$58)^Model_1!AD$54</f>
        <v>0</v>
      </c>
      <c r="AE57" s="134">
        <f>AE4*(1+Dashboard_1!$H$58)^Model_1!AE$54</f>
        <v>0</v>
      </c>
      <c r="AF57" s="134">
        <f>AF4*(1+Dashboard_1!$H$58)^Model_1!AF$54</f>
        <v>0</v>
      </c>
      <c r="AG57" s="134">
        <f>AG4*(1+Dashboard_1!$H$58)^Model_1!AG$54</f>
        <v>0</v>
      </c>
      <c r="AH57" s="134">
        <f>AH4*(1+Dashboard_1!$H$58)^Model_1!AH$54</f>
        <v>0</v>
      </c>
      <c r="AI57" s="134">
        <f>AI4*(1+Dashboard_1!$H$58)^Model_1!AI$54</f>
        <v>0</v>
      </c>
      <c r="AJ57" s="134">
        <f>AJ4*(1+Dashboard_1!$H$58)^Model_1!AJ$54</f>
        <v>0</v>
      </c>
      <c r="AK57" s="134">
        <f>AK4*(1+Dashboard_1!$H$58)^Model_1!AK$54</f>
        <v>0</v>
      </c>
      <c r="AL57" s="134">
        <f>AL4*(1+Dashboard_1!$H$58)^Model_1!AL$54</f>
        <v>0</v>
      </c>
      <c r="AM57" s="134">
        <f>AM4*(1+Dashboard_1!$H$58)^Model_1!AM$54</f>
        <v>0</v>
      </c>
      <c r="AN57" s="134">
        <f>AN4*(1+Dashboard_1!$H$58)^Model_1!AN$54</f>
        <v>0</v>
      </c>
      <c r="AO57" s="134">
        <f>AO4*(1+Dashboard_1!$H$58)^Model_1!AO$54</f>
        <v>0</v>
      </c>
      <c r="AP57" s="134">
        <f>AP4*(1+Dashboard_1!$H$58)^Model_1!AP$54</f>
        <v>0</v>
      </c>
      <c r="AQ57" s="134">
        <f>AQ4*(1+Dashboard_1!$H$58)^Model_1!AQ$54</f>
        <v>0</v>
      </c>
      <c r="AR57" s="134">
        <f>AR4*(1+Dashboard_1!$H$58)^Model_1!AR$54</f>
        <v>0</v>
      </c>
      <c r="AS57" s="134">
        <f>AS4*(1+Dashboard_1!$H$58)^Model_1!AS$54</f>
        <v>0</v>
      </c>
      <c r="AT57" s="134">
        <f>AT4*(1+Dashboard_1!$H$58)^Model_1!AT$54</f>
        <v>0</v>
      </c>
      <c r="AU57" s="134">
        <f>AU4*(1+Dashboard_1!$H$58)^Model_1!AU$54</f>
        <v>0</v>
      </c>
      <c r="AV57" s="134">
        <f>AV4*(1+Dashboard_1!$H$58)^Model_1!AV$54</f>
        <v>0</v>
      </c>
      <c r="AW57" s="134">
        <f>AW4*(1+Dashboard_1!$H$58)^Model_1!AW$54</f>
        <v>0</v>
      </c>
      <c r="AX57" s="134">
        <f>AX4*(1+Dashboard_1!$H$58)^Model_1!AX$54</f>
        <v>0</v>
      </c>
      <c r="AY57" s="134">
        <f>AY4*(1+Dashboard_1!$H$58)^Model_1!AY$54</f>
        <v>0</v>
      </c>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row>
    <row r="58" spans="1:98" s="138" customFormat="1" x14ac:dyDescent="0.45">
      <c r="A58" s="41" t="str">
        <f t="shared" si="90"/>
        <v>Supply ($)</v>
      </c>
      <c r="B58" s="134">
        <f>B5*(1+Dashboard_1!$H$58)^Model_1!B$54</f>
        <v>18687.190075840001</v>
      </c>
      <c r="C58" s="134">
        <f>C5*(1+Dashboard_1!$H$58)^Model_1!C$54</f>
        <v>0</v>
      </c>
      <c r="D58" s="134">
        <f>D5*(1+Dashboard_1!$H$58)^Model_1!D$54</f>
        <v>0</v>
      </c>
      <c r="E58" s="134">
        <f>E5*(1+Dashboard_1!$H$58)^Model_1!E$54</f>
        <v>0</v>
      </c>
      <c r="F58" s="134">
        <f>F5*(1+Dashboard_1!$H$58)^Model_1!F$54</f>
        <v>0</v>
      </c>
      <c r="G58" s="134">
        <f>G5*(1+Dashboard_1!$H$58)^Model_1!G$54</f>
        <v>0</v>
      </c>
      <c r="H58" s="134">
        <f>H5*(1+Dashboard_1!$H$58)^Model_1!H$54</f>
        <v>0</v>
      </c>
      <c r="I58" s="134">
        <f>I5*(1+Dashboard_1!$H$58)^Model_1!I$54</f>
        <v>0</v>
      </c>
      <c r="J58" s="134">
        <f>J5*(1+Dashboard_1!$H$58)^Model_1!J$54</f>
        <v>0</v>
      </c>
      <c r="K58" s="134">
        <f>K5*(1+Dashboard_1!$H$58)^Model_1!K$54</f>
        <v>0</v>
      </c>
      <c r="L58" s="134">
        <f>L5*(1+Dashboard_1!$H$58)^Model_1!L$54</f>
        <v>0</v>
      </c>
      <c r="M58" s="134">
        <f>M5*(1+Dashboard_1!$H$58)^Model_1!M$54</f>
        <v>0</v>
      </c>
      <c r="N58" s="134">
        <f>N5*(1+Dashboard_1!$H$58)^Model_1!N$54</f>
        <v>0</v>
      </c>
      <c r="O58" s="134">
        <f>O5*(1+Dashboard_1!$H$58)^Model_1!O$54</f>
        <v>0</v>
      </c>
      <c r="P58" s="134">
        <f>P5*(1+Dashboard_1!$H$58)^Model_1!P$54</f>
        <v>0</v>
      </c>
      <c r="Q58" s="134">
        <f>Q5*(1+Dashboard_1!$H$58)^Model_1!Q$54</f>
        <v>0</v>
      </c>
      <c r="R58" s="134">
        <f>R5*(1+Dashboard_1!$H$58)^Model_1!R$54</f>
        <v>0</v>
      </c>
      <c r="S58" s="134">
        <f>S5*(1+Dashboard_1!$H$58)^Model_1!S$54</f>
        <v>0</v>
      </c>
      <c r="T58" s="134">
        <f>T5*(1+Dashboard_1!$H$58)^Model_1!T$54</f>
        <v>0</v>
      </c>
      <c r="U58" s="134">
        <f>U5*(1+Dashboard_1!$H$58)^Model_1!U$54</f>
        <v>0</v>
      </c>
      <c r="V58" s="134">
        <f>V5*(1+Dashboard_1!$H$58)^Model_1!V$54</f>
        <v>0</v>
      </c>
      <c r="W58" s="134">
        <f>W5*(1+Dashboard_1!$H$58)^Model_1!W$54</f>
        <v>0</v>
      </c>
      <c r="X58" s="134">
        <f>X5*(1+Dashboard_1!$H$58)^Model_1!X$54</f>
        <v>0</v>
      </c>
      <c r="Y58" s="134">
        <f>Y5*(1+Dashboard_1!$H$58)^Model_1!Y$54</f>
        <v>0</v>
      </c>
      <c r="Z58" s="134">
        <f>Z5*(1+Dashboard_1!$H$58)^Model_1!Z$54</f>
        <v>0</v>
      </c>
      <c r="AA58" s="134">
        <f>AA5*(1+Dashboard_1!$H$58)^Model_1!AA$54</f>
        <v>0</v>
      </c>
      <c r="AB58" s="134">
        <f>AB5*(1+Dashboard_1!$H$58)^Model_1!AB$54</f>
        <v>0</v>
      </c>
      <c r="AC58" s="134">
        <f>AC5*(1+Dashboard_1!$H$58)^Model_1!AC$54</f>
        <v>0</v>
      </c>
      <c r="AD58" s="134">
        <f>AD5*(1+Dashboard_1!$H$58)^Model_1!AD$54</f>
        <v>0</v>
      </c>
      <c r="AE58" s="134">
        <f>AE5*(1+Dashboard_1!$H$58)^Model_1!AE$54</f>
        <v>0</v>
      </c>
      <c r="AF58" s="134">
        <f>AF5*(1+Dashboard_1!$H$58)^Model_1!AF$54</f>
        <v>0</v>
      </c>
      <c r="AG58" s="134">
        <f>AG5*(1+Dashboard_1!$H$58)^Model_1!AG$54</f>
        <v>0</v>
      </c>
      <c r="AH58" s="134">
        <f>AH5*(1+Dashboard_1!$H$58)^Model_1!AH$54</f>
        <v>0</v>
      </c>
      <c r="AI58" s="134">
        <f>AI5*(1+Dashboard_1!$H$58)^Model_1!AI$54</f>
        <v>0</v>
      </c>
      <c r="AJ58" s="134">
        <f>AJ5*(1+Dashboard_1!$H$58)^Model_1!AJ$54</f>
        <v>0</v>
      </c>
      <c r="AK58" s="134">
        <f>AK5*(1+Dashboard_1!$H$58)^Model_1!AK$54</f>
        <v>0</v>
      </c>
      <c r="AL58" s="134">
        <f>AL5*(1+Dashboard_1!$H$58)^Model_1!AL$54</f>
        <v>0</v>
      </c>
      <c r="AM58" s="134">
        <f>AM5*(1+Dashboard_1!$H$58)^Model_1!AM$54</f>
        <v>0</v>
      </c>
      <c r="AN58" s="134">
        <f>AN5*(1+Dashboard_1!$H$58)^Model_1!AN$54</f>
        <v>0</v>
      </c>
      <c r="AO58" s="134">
        <f>AO5*(1+Dashboard_1!$H$58)^Model_1!AO$54</f>
        <v>0</v>
      </c>
      <c r="AP58" s="134">
        <f>AP5*(1+Dashboard_1!$H$58)^Model_1!AP$54</f>
        <v>0</v>
      </c>
      <c r="AQ58" s="134">
        <f>AQ5*(1+Dashboard_1!$H$58)^Model_1!AQ$54</f>
        <v>0</v>
      </c>
      <c r="AR58" s="134">
        <f>AR5*(1+Dashboard_1!$H$58)^Model_1!AR$54</f>
        <v>0</v>
      </c>
      <c r="AS58" s="134">
        <f>AS5*(1+Dashboard_1!$H$58)^Model_1!AS$54</f>
        <v>0</v>
      </c>
      <c r="AT58" s="134">
        <f>AT5*(1+Dashboard_1!$H$58)^Model_1!AT$54</f>
        <v>0</v>
      </c>
      <c r="AU58" s="134">
        <f>AU5*(1+Dashboard_1!$H$58)^Model_1!AU$54</f>
        <v>0</v>
      </c>
      <c r="AV58" s="134">
        <f>AV5*(1+Dashboard_1!$H$58)^Model_1!AV$54</f>
        <v>0</v>
      </c>
      <c r="AW58" s="134">
        <f>AW5*(1+Dashboard_1!$H$58)^Model_1!AW$54</f>
        <v>0</v>
      </c>
      <c r="AX58" s="134">
        <f>AX5*(1+Dashboard_1!$H$58)^Model_1!AX$54</f>
        <v>0</v>
      </c>
      <c r="AY58" s="134">
        <f>AY5*(1+Dashboard_1!$H$58)^Model_1!AY$54</f>
        <v>0</v>
      </c>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row>
    <row r="59" spans="1:98" s="138" customFormat="1" x14ac:dyDescent="0.45">
      <c r="A59" s="41" t="str">
        <f t="shared" si="90"/>
        <v>Tree installation ($)</v>
      </c>
      <c r="B59" s="134">
        <f>B6*(1+Dashboard_1!$H$58)^Model_1!B$54</f>
        <v>0</v>
      </c>
      <c r="C59" s="134">
        <f>C6*(1+Dashboard_1!$H$58)^Model_1!C$54</f>
        <v>0</v>
      </c>
      <c r="D59" s="134">
        <f>D6*(1+Dashboard_1!$H$58)^Model_1!D$54</f>
        <v>0</v>
      </c>
      <c r="E59" s="134">
        <f>E6*(1+Dashboard_1!$H$58)^Model_1!E$54</f>
        <v>0</v>
      </c>
      <c r="F59" s="134">
        <f>F6*(1+Dashboard_1!$H$58)^Model_1!F$54</f>
        <v>0</v>
      </c>
      <c r="G59" s="134">
        <f>G6*(1+Dashboard_1!$H$58)^Model_1!G$54</f>
        <v>0</v>
      </c>
      <c r="H59" s="134">
        <f>H6*(1+Dashboard_1!$H$58)^Model_1!H$54</f>
        <v>0</v>
      </c>
      <c r="I59" s="134">
        <f>I6*(1+Dashboard_1!$H$58)^Model_1!I$54</f>
        <v>0</v>
      </c>
      <c r="J59" s="134">
        <f>J6*(1+Dashboard_1!$H$58)^Model_1!J$54</f>
        <v>0</v>
      </c>
      <c r="K59" s="134">
        <f>K6*(1+Dashboard_1!$H$58)^Model_1!K$54</f>
        <v>0</v>
      </c>
      <c r="L59" s="134">
        <f>L6*(1+Dashboard_1!$H$58)^Model_1!L$54</f>
        <v>0</v>
      </c>
      <c r="M59" s="134">
        <f>M6*(1+Dashboard_1!$H$58)^Model_1!M$54</f>
        <v>0</v>
      </c>
      <c r="N59" s="134">
        <f>N6*(1+Dashboard_1!$H$58)^Model_1!N$54</f>
        <v>0</v>
      </c>
      <c r="O59" s="134">
        <f>O6*(1+Dashboard_1!$H$58)^Model_1!O$54</f>
        <v>0</v>
      </c>
      <c r="P59" s="134">
        <f>P6*(1+Dashboard_1!$H$58)^Model_1!P$54</f>
        <v>0</v>
      </c>
      <c r="Q59" s="134">
        <f>Q6*(1+Dashboard_1!$H$58)^Model_1!Q$54</f>
        <v>0</v>
      </c>
      <c r="R59" s="134">
        <f>R6*(1+Dashboard_1!$H$58)^Model_1!R$54</f>
        <v>0</v>
      </c>
      <c r="S59" s="134">
        <f>S6*(1+Dashboard_1!$H$58)^Model_1!S$54</f>
        <v>0</v>
      </c>
      <c r="T59" s="134">
        <f>T6*(1+Dashboard_1!$H$58)^Model_1!T$54</f>
        <v>0</v>
      </c>
      <c r="U59" s="134">
        <f>U6*(1+Dashboard_1!$H$58)^Model_1!U$54</f>
        <v>0</v>
      </c>
      <c r="V59" s="134">
        <f>V6*(1+Dashboard_1!$H$58)^Model_1!V$54</f>
        <v>0</v>
      </c>
      <c r="W59" s="134">
        <f>W6*(1+Dashboard_1!$H$58)^Model_1!W$54</f>
        <v>0</v>
      </c>
      <c r="X59" s="134">
        <f>X6*(1+Dashboard_1!$H$58)^Model_1!X$54</f>
        <v>0</v>
      </c>
      <c r="Y59" s="134">
        <f>Y6*(1+Dashboard_1!$H$58)^Model_1!Y$54</f>
        <v>0</v>
      </c>
      <c r="Z59" s="134">
        <f>Z6*(1+Dashboard_1!$H$58)^Model_1!Z$54</f>
        <v>0</v>
      </c>
      <c r="AA59" s="134">
        <f>AA6*(1+Dashboard_1!$H$58)^Model_1!AA$54</f>
        <v>0</v>
      </c>
      <c r="AB59" s="134">
        <f>AB6*(1+Dashboard_1!$H$58)^Model_1!AB$54</f>
        <v>0</v>
      </c>
      <c r="AC59" s="134">
        <f>AC6*(1+Dashboard_1!$H$58)^Model_1!AC$54</f>
        <v>0</v>
      </c>
      <c r="AD59" s="134">
        <f>AD6*(1+Dashboard_1!$H$58)^Model_1!AD$54</f>
        <v>0</v>
      </c>
      <c r="AE59" s="134">
        <f>AE6*(1+Dashboard_1!$H$58)^Model_1!AE$54</f>
        <v>0</v>
      </c>
      <c r="AF59" s="134">
        <f>AF6*(1+Dashboard_1!$H$58)^Model_1!AF$54</f>
        <v>0</v>
      </c>
      <c r="AG59" s="134">
        <f>AG6*(1+Dashboard_1!$H$58)^Model_1!AG$54</f>
        <v>0</v>
      </c>
      <c r="AH59" s="134">
        <f>AH6*(1+Dashboard_1!$H$58)^Model_1!AH$54</f>
        <v>0</v>
      </c>
      <c r="AI59" s="134">
        <f>AI6*(1+Dashboard_1!$H$58)^Model_1!AI$54</f>
        <v>0</v>
      </c>
      <c r="AJ59" s="134">
        <f>AJ6*(1+Dashboard_1!$H$58)^Model_1!AJ$54</f>
        <v>0</v>
      </c>
      <c r="AK59" s="134">
        <f>AK6*(1+Dashboard_1!$H$58)^Model_1!AK$54</f>
        <v>0</v>
      </c>
      <c r="AL59" s="134">
        <f>AL6*(1+Dashboard_1!$H$58)^Model_1!AL$54</f>
        <v>0</v>
      </c>
      <c r="AM59" s="134">
        <f>AM6*(1+Dashboard_1!$H$58)^Model_1!AM$54</f>
        <v>0</v>
      </c>
      <c r="AN59" s="134">
        <f>AN6*(1+Dashboard_1!$H$58)^Model_1!AN$54</f>
        <v>0</v>
      </c>
      <c r="AO59" s="134">
        <f>AO6*(1+Dashboard_1!$H$58)^Model_1!AO$54</f>
        <v>0</v>
      </c>
      <c r="AP59" s="134">
        <f>AP6*(1+Dashboard_1!$H$58)^Model_1!AP$54</f>
        <v>0</v>
      </c>
      <c r="AQ59" s="134">
        <f>AQ6*(1+Dashboard_1!$H$58)^Model_1!AQ$54</f>
        <v>0</v>
      </c>
      <c r="AR59" s="134">
        <f>AR6*(1+Dashboard_1!$H$58)^Model_1!AR$54</f>
        <v>0</v>
      </c>
      <c r="AS59" s="134">
        <f>AS6*(1+Dashboard_1!$H$58)^Model_1!AS$54</f>
        <v>0</v>
      </c>
      <c r="AT59" s="134">
        <f>AT6*(1+Dashboard_1!$H$58)^Model_1!AT$54</f>
        <v>0</v>
      </c>
      <c r="AU59" s="134">
        <f>AU6*(1+Dashboard_1!$H$58)^Model_1!AU$54</f>
        <v>0</v>
      </c>
      <c r="AV59" s="134">
        <f>AV6*(1+Dashboard_1!$H$58)^Model_1!AV$54</f>
        <v>0</v>
      </c>
      <c r="AW59" s="134">
        <f>AW6*(1+Dashboard_1!$H$58)^Model_1!AW$54</f>
        <v>0</v>
      </c>
      <c r="AX59" s="134">
        <f>AX6*(1+Dashboard_1!$H$58)^Model_1!AX$54</f>
        <v>0</v>
      </c>
      <c r="AY59" s="134">
        <f>AY6*(1+Dashboard_1!$H$58)^Model_1!AY$54</f>
        <v>0</v>
      </c>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row>
    <row r="60" spans="1:98" s="138" customFormat="1" x14ac:dyDescent="0.45">
      <c r="A60" s="41" t="str">
        <f t="shared" si="90"/>
        <v>Unbundled installation</v>
      </c>
      <c r="B60" s="134">
        <f>B7*(1+Dashboard_1!$H$58)^Model_1!B$54</f>
        <v>2433.3333333333335</v>
      </c>
      <c r="C60" s="134">
        <f>C7*(1+Dashboard_1!$H$58)^Model_1!C$54</f>
        <v>0</v>
      </c>
      <c r="D60" s="134">
        <f>D7*(1+Dashboard_1!$H$58)^Model_1!D$54</f>
        <v>0</v>
      </c>
      <c r="E60" s="134">
        <f>E7*(1+Dashboard_1!$H$58)^Model_1!E$54</f>
        <v>0</v>
      </c>
      <c r="F60" s="134">
        <f>F7*(1+Dashboard_1!$H$58)^Model_1!F$54</f>
        <v>0</v>
      </c>
      <c r="G60" s="134">
        <f>G7*(1+Dashboard_1!$H$58)^Model_1!G$54</f>
        <v>0</v>
      </c>
      <c r="H60" s="134">
        <f>H7*(1+Dashboard_1!$H$58)^Model_1!H$54</f>
        <v>0</v>
      </c>
      <c r="I60" s="134">
        <f>I7*(1+Dashboard_1!$H$58)^Model_1!I$54</f>
        <v>0</v>
      </c>
      <c r="J60" s="134">
        <f>J7*(1+Dashboard_1!$H$58)^Model_1!J$54</f>
        <v>0</v>
      </c>
      <c r="K60" s="134">
        <f>K7*(1+Dashboard_1!$H$58)^Model_1!K$54</f>
        <v>0</v>
      </c>
      <c r="L60" s="134">
        <f>L7*(1+Dashboard_1!$H$58)^Model_1!L$54</f>
        <v>0</v>
      </c>
      <c r="M60" s="134">
        <f>M7*(1+Dashboard_1!$H$58)^Model_1!M$54</f>
        <v>0</v>
      </c>
      <c r="N60" s="134">
        <f>N7*(1+Dashboard_1!$H$58)^Model_1!N$54</f>
        <v>0</v>
      </c>
      <c r="O60" s="134">
        <f>O7*(1+Dashboard_1!$H$58)^Model_1!O$54</f>
        <v>0</v>
      </c>
      <c r="P60" s="134">
        <f>P7*(1+Dashboard_1!$H$58)^Model_1!P$54</f>
        <v>0</v>
      </c>
      <c r="Q60" s="134">
        <f>Q7*(1+Dashboard_1!$H$58)^Model_1!Q$54</f>
        <v>0</v>
      </c>
      <c r="R60" s="134">
        <f>R7*(1+Dashboard_1!$H$58)^Model_1!R$54</f>
        <v>0</v>
      </c>
      <c r="S60" s="134">
        <f>S7*(1+Dashboard_1!$H$58)^Model_1!S$54</f>
        <v>0</v>
      </c>
      <c r="T60" s="134">
        <f>T7*(1+Dashboard_1!$H$58)^Model_1!T$54</f>
        <v>0</v>
      </c>
      <c r="U60" s="134">
        <f>U7*(1+Dashboard_1!$H$58)^Model_1!U$54</f>
        <v>0</v>
      </c>
      <c r="V60" s="134">
        <f>V7*(1+Dashboard_1!$H$58)^Model_1!V$54</f>
        <v>0</v>
      </c>
      <c r="W60" s="134">
        <f>W7*(1+Dashboard_1!$H$58)^Model_1!W$54</f>
        <v>0</v>
      </c>
      <c r="X60" s="134">
        <f>X7*(1+Dashboard_1!$H$58)^Model_1!X$54</f>
        <v>0</v>
      </c>
      <c r="Y60" s="134">
        <f>Y7*(1+Dashboard_1!$H$58)^Model_1!Y$54</f>
        <v>0</v>
      </c>
      <c r="Z60" s="134">
        <f>Z7*(1+Dashboard_1!$H$58)^Model_1!Z$54</f>
        <v>0</v>
      </c>
      <c r="AA60" s="134">
        <f>AA7*(1+Dashboard_1!$H$58)^Model_1!AA$54</f>
        <v>0</v>
      </c>
      <c r="AB60" s="134">
        <f>AB7*(1+Dashboard_1!$H$58)^Model_1!AB$54</f>
        <v>0</v>
      </c>
      <c r="AC60" s="134">
        <f>AC7*(1+Dashboard_1!$H$58)^Model_1!AC$54</f>
        <v>0</v>
      </c>
      <c r="AD60" s="134">
        <f>AD7*(1+Dashboard_1!$H$58)^Model_1!AD$54</f>
        <v>0</v>
      </c>
      <c r="AE60" s="134">
        <f>AE7*(1+Dashboard_1!$H$58)^Model_1!AE$54</f>
        <v>0</v>
      </c>
      <c r="AF60" s="134">
        <f>AF7*(1+Dashboard_1!$H$58)^Model_1!AF$54</f>
        <v>0</v>
      </c>
      <c r="AG60" s="134">
        <f>AG7*(1+Dashboard_1!$H$58)^Model_1!AG$54</f>
        <v>0</v>
      </c>
      <c r="AH60" s="134">
        <f>AH7*(1+Dashboard_1!$H$58)^Model_1!AH$54</f>
        <v>0</v>
      </c>
      <c r="AI60" s="134">
        <f>AI7*(1+Dashboard_1!$H$58)^Model_1!AI$54</f>
        <v>0</v>
      </c>
      <c r="AJ60" s="134">
        <f>AJ7*(1+Dashboard_1!$H$58)^Model_1!AJ$54</f>
        <v>0</v>
      </c>
      <c r="AK60" s="134">
        <f>AK7*(1+Dashboard_1!$H$58)^Model_1!AK$54</f>
        <v>0</v>
      </c>
      <c r="AL60" s="134">
        <f>AL7*(1+Dashboard_1!$H$58)^Model_1!AL$54</f>
        <v>0</v>
      </c>
      <c r="AM60" s="134">
        <f>AM7*(1+Dashboard_1!$H$58)^Model_1!AM$54</f>
        <v>0</v>
      </c>
      <c r="AN60" s="134">
        <f>AN7*(1+Dashboard_1!$H$58)^Model_1!AN$54</f>
        <v>0</v>
      </c>
      <c r="AO60" s="134">
        <f>AO7*(1+Dashboard_1!$H$58)^Model_1!AO$54</f>
        <v>0</v>
      </c>
      <c r="AP60" s="134">
        <f>AP7*(1+Dashboard_1!$H$58)^Model_1!AP$54</f>
        <v>0</v>
      </c>
      <c r="AQ60" s="134">
        <f>AQ7*(1+Dashboard_1!$H$58)^Model_1!AQ$54</f>
        <v>0</v>
      </c>
      <c r="AR60" s="134">
        <f>AR7*(1+Dashboard_1!$H$58)^Model_1!AR$54</f>
        <v>0</v>
      </c>
      <c r="AS60" s="134">
        <f>AS7*(1+Dashboard_1!$H$58)^Model_1!AS$54</f>
        <v>0</v>
      </c>
      <c r="AT60" s="134">
        <f>AT7*(1+Dashboard_1!$H$58)^Model_1!AT$54</f>
        <v>0</v>
      </c>
      <c r="AU60" s="134">
        <f>AU7*(1+Dashboard_1!$H$58)^Model_1!AU$54</f>
        <v>0</v>
      </c>
      <c r="AV60" s="134">
        <f>AV7*(1+Dashboard_1!$H$58)^Model_1!AV$54</f>
        <v>0</v>
      </c>
      <c r="AW60" s="134">
        <f>AW7*(1+Dashboard_1!$H$58)^Model_1!AW$54</f>
        <v>0</v>
      </c>
      <c r="AX60" s="134">
        <f>AX7*(1+Dashboard_1!$H$58)^Model_1!AX$54</f>
        <v>0</v>
      </c>
      <c r="AY60" s="134">
        <f>AY7*(1+Dashboard_1!$H$58)^Model_1!AY$54</f>
        <v>0</v>
      </c>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row>
    <row r="61" spans="1:98" s="138" customFormat="1" x14ac:dyDescent="0.45">
      <c r="A61" s="41" t="str">
        <f t="shared" si="90"/>
        <v>Mulch cost ($/m3)</v>
      </c>
      <c r="B61" s="134">
        <f>B8*(1+Dashboard_1!$H$58)^Model_1!B$54</f>
        <v>976.83311460799996</v>
      </c>
      <c r="C61" s="134">
        <f>C8*(1+Dashboard_1!$H$58)^Model_1!C$54</f>
        <v>0</v>
      </c>
      <c r="D61" s="134">
        <f>D8*(1+Dashboard_1!$H$58)^Model_1!D$54</f>
        <v>0</v>
      </c>
      <c r="E61" s="134">
        <f>E8*(1+Dashboard_1!$H$58)^Model_1!E$54</f>
        <v>0</v>
      </c>
      <c r="F61" s="134">
        <f>F8*(1+Dashboard_1!$H$58)^Model_1!F$54</f>
        <v>0</v>
      </c>
      <c r="G61" s="134">
        <f>G8*(1+Dashboard_1!$H$58)^Model_1!G$54</f>
        <v>0</v>
      </c>
      <c r="H61" s="134">
        <f>H8*(1+Dashboard_1!$H$58)^Model_1!H$54</f>
        <v>0</v>
      </c>
      <c r="I61" s="134">
        <f>I8*(1+Dashboard_1!$H$58)^Model_1!I$54</f>
        <v>0</v>
      </c>
      <c r="J61" s="134">
        <f>J8*(1+Dashboard_1!$H$58)^Model_1!J$54</f>
        <v>0</v>
      </c>
      <c r="K61" s="134">
        <f>K8*(1+Dashboard_1!$H$58)^Model_1!K$54</f>
        <v>0</v>
      </c>
      <c r="L61" s="134">
        <f>L8*(1+Dashboard_1!$H$58)^Model_1!L$54</f>
        <v>0</v>
      </c>
      <c r="M61" s="134">
        <f>M8*(1+Dashboard_1!$H$58)^Model_1!M$54</f>
        <v>0</v>
      </c>
      <c r="N61" s="134">
        <f>N8*(1+Dashboard_1!$H$58)^Model_1!N$54</f>
        <v>0</v>
      </c>
      <c r="O61" s="134">
        <f>O8*(1+Dashboard_1!$H$58)^Model_1!O$54</f>
        <v>0</v>
      </c>
      <c r="P61" s="134">
        <f>P8*(1+Dashboard_1!$H$58)^Model_1!P$54</f>
        <v>0</v>
      </c>
      <c r="Q61" s="134">
        <f>Q8*(1+Dashboard_1!$H$58)^Model_1!Q$54</f>
        <v>0</v>
      </c>
      <c r="R61" s="134">
        <f>R8*(1+Dashboard_1!$H$58)^Model_1!R$54</f>
        <v>0</v>
      </c>
      <c r="S61" s="134">
        <f>S8*(1+Dashboard_1!$H$58)^Model_1!S$54</f>
        <v>0</v>
      </c>
      <c r="T61" s="134">
        <f>T8*(1+Dashboard_1!$H$58)^Model_1!T$54</f>
        <v>0</v>
      </c>
      <c r="U61" s="134">
        <f>U8*(1+Dashboard_1!$H$58)^Model_1!U$54</f>
        <v>0</v>
      </c>
      <c r="V61" s="134">
        <f>V8*(1+Dashboard_1!$H$58)^Model_1!V$54</f>
        <v>0</v>
      </c>
      <c r="W61" s="134">
        <f>W8*(1+Dashboard_1!$H$58)^Model_1!W$54</f>
        <v>0</v>
      </c>
      <c r="X61" s="134">
        <f>X8*(1+Dashboard_1!$H$58)^Model_1!X$54</f>
        <v>0</v>
      </c>
      <c r="Y61" s="134">
        <f>Y8*(1+Dashboard_1!$H$58)^Model_1!Y$54</f>
        <v>0</v>
      </c>
      <c r="Z61" s="134">
        <f>Z8*(1+Dashboard_1!$H$58)^Model_1!Z$54</f>
        <v>0</v>
      </c>
      <c r="AA61" s="134">
        <f>AA8*(1+Dashboard_1!$H$58)^Model_1!AA$54</f>
        <v>0</v>
      </c>
      <c r="AB61" s="134">
        <f>AB8*(1+Dashboard_1!$H$58)^Model_1!AB$54</f>
        <v>0</v>
      </c>
      <c r="AC61" s="134">
        <f>AC8*(1+Dashboard_1!$H$58)^Model_1!AC$54</f>
        <v>0</v>
      </c>
      <c r="AD61" s="134">
        <f>AD8*(1+Dashboard_1!$H$58)^Model_1!AD$54</f>
        <v>0</v>
      </c>
      <c r="AE61" s="134">
        <f>AE8*(1+Dashboard_1!$H$58)^Model_1!AE$54</f>
        <v>0</v>
      </c>
      <c r="AF61" s="134">
        <f>AF8*(1+Dashboard_1!$H$58)^Model_1!AF$54</f>
        <v>0</v>
      </c>
      <c r="AG61" s="134">
        <f>AG8*(1+Dashboard_1!$H$58)^Model_1!AG$54</f>
        <v>0</v>
      </c>
      <c r="AH61" s="134">
        <f>AH8*(1+Dashboard_1!$H$58)^Model_1!AH$54</f>
        <v>0</v>
      </c>
      <c r="AI61" s="134">
        <f>AI8*(1+Dashboard_1!$H$58)^Model_1!AI$54</f>
        <v>0</v>
      </c>
      <c r="AJ61" s="134">
        <f>AJ8*(1+Dashboard_1!$H$58)^Model_1!AJ$54</f>
        <v>0</v>
      </c>
      <c r="AK61" s="134">
        <f>AK8*(1+Dashboard_1!$H$58)^Model_1!AK$54</f>
        <v>0</v>
      </c>
      <c r="AL61" s="134">
        <f>AL8*(1+Dashboard_1!$H$58)^Model_1!AL$54</f>
        <v>0</v>
      </c>
      <c r="AM61" s="134">
        <f>AM8*(1+Dashboard_1!$H$58)^Model_1!AM$54</f>
        <v>0</v>
      </c>
      <c r="AN61" s="134">
        <f>AN8*(1+Dashboard_1!$H$58)^Model_1!AN$54</f>
        <v>0</v>
      </c>
      <c r="AO61" s="134">
        <f>AO8*(1+Dashboard_1!$H$58)^Model_1!AO$54</f>
        <v>0</v>
      </c>
      <c r="AP61" s="134">
        <f>AP8*(1+Dashboard_1!$H$58)^Model_1!AP$54</f>
        <v>0</v>
      </c>
      <c r="AQ61" s="134">
        <f>AQ8*(1+Dashboard_1!$H$58)^Model_1!AQ$54</f>
        <v>0</v>
      </c>
      <c r="AR61" s="134">
        <f>AR8*(1+Dashboard_1!$H$58)^Model_1!AR$54</f>
        <v>0</v>
      </c>
      <c r="AS61" s="134">
        <f>AS8*(1+Dashboard_1!$H$58)^Model_1!AS$54</f>
        <v>0</v>
      </c>
      <c r="AT61" s="134">
        <f>AT8*(1+Dashboard_1!$H$58)^Model_1!AT$54</f>
        <v>0</v>
      </c>
      <c r="AU61" s="134">
        <f>AU8*(1+Dashboard_1!$H$58)^Model_1!AU$54</f>
        <v>0</v>
      </c>
      <c r="AV61" s="134">
        <f>AV8*(1+Dashboard_1!$H$58)^Model_1!AV$54</f>
        <v>0</v>
      </c>
      <c r="AW61" s="134">
        <f>AW8*(1+Dashboard_1!$H$58)^Model_1!AW$54</f>
        <v>0</v>
      </c>
      <c r="AX61" s="134">
        <f>AX8*(1+Dashboard_1!$H$58)^Model_1!AX$54</f>
        <v>0</v>
      </c>
      <c r="AY61" s="134">
        <f>AY8*(1+Dashboard_1!$H$58)^Model_1!AY$54</f>
        <v>0</v>
      </c>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row>
    <row r="62" spans="1:98" s="138" customFormat="1" x14ac:dyDescent="0.45">
      <c r="A62" s="41" t="str">
        <f t="shared" si="90"/>
        <v>Stakes and ties ($)</v>
      </c>
      <c r="B62" s="134">
        <f>B9*(1+Dashboard_1!$H$58)^Model_1!B$54</f>
        <v>12480.000000000002</v>
      </c>
      <c r="C62" s="134">
        <f>C9*(1+Dashboard_1!$H$58)^Model_1!C$54</f>
        <v>0</v>
      </c>
      <c r="D62" s="134">
        <f>D9*(1+Dashboard_1!$H$58)^Model_1!D$54</f>
        <v>0</v>
      </c>
      <c r="E62" s="134">
        <f>E9*(1+Dashboard_1!$H$58)^Model_1!E$54</f>
        <v>0</v>
      </c>
      <c r="F62" s="134">
        <f>F9*(1+Dashboard_1!$H$58)^Model_1!F$54</f>
        <v>0</v>
      </c>
      <c r="G62" s="134">
        <f>G9*(1+Dashboard_1!$H$58)^Model_1!G$54</f>
        <v>0</v>
      </c>
      <c r="H62" s="134">
        <f>H9*(1+Dashboard_1!$H$58)^Model_1!H$54</f>
        <v>0</v>
      </c>
      <c r="I62" s="134">
        <f>I9*(1+Dashboard_1!$H$58)^Model_1!I$54</f>
        <v>0</v>
      </c>
      <c r="J62" s="134">
        <f>J9*(1+Dashboard_1!$H$58)^Model_1!J$54</f>
        <v>0</v>
      </c>
      <c r="K62" s="134">
        <f>K9*(1+Dashboard_1!$H$58)^Model_1!K$54</f>
        <v>0</v>
      </c>
      <c r="L62" s="134">
        <f>L9*(1+Dashboard_1!$H$58)^Model_1!L$54</f>
        <v>0</v>
      </c>
      <c r="M62" s="134">
        <f>M9*(1+Dashboard_1!$H$58)^Model_1!M$54</f>
        <v>0</v>
      </c>
      <c r="N62" s="134">
        <f>N9*(1+Dashboard_1!$H$58)^Model_1!N$54</f>
        <v>0</v>
      </c>
      <c r="O62" s="134">
        <f>O9*(1+Dashboard_1!$H$58)^Model_1!O$54</f>
        <v>0</v>
      </c>
      <c r="P62" s="134">
        <f>P9*(1+Dashboard_1!$H$58)^Model_1!P$54</f>
        <v>0</v>
      </c>
      <c r="Q62" s="134">
        <f>Q9*(1+Dashboard_1!$H$58)^Model_1!Q$54</f>
        <v>0</v>
      </c>
      <c r="R62" s="134">
        <f>R9*(1+Dashboard_1!$H$58)^Model_1!R$54</f>
        <v>0</v>
      </c>
      <c r="S62" s="134">
        <f>S9*(1+Dashboard_1!$H$58)^Model_1!S$54</f>
        <v>0</v>
      </c>
      <c r="T62" s="134">
        <f>T9*(1+Dashboard_1!$H$58)^Model_1!T$54</f>
        <v>0</v>
      </c>
      <c r="U62" s="134">
        <f>U9*(1+Dashboard_1!$H$58)^Model_1!U$54</f>
        <v>0</v>
      </c>
      <c r="V62" s="134">
        <f>V9*(1+Dashboard_1!$H$58)^Model_1!V$54</f>
        <v>0</v>
      </c>
      <c r="W62" s="134">
        <f>W9*(1+Dashboard_1!$H$58)^Model_1!W$54</f>
        <v>0</v>
      </c>
      <c r="X62" s="134">
        <f>X9*(1+Dashboard_1!$H$58)^Model_1!X$54</f>
        <v>0</v>
      </c>
      <c r="Y62" s="134">
        <f>Y9*(1+Dashboard_1!$H$58)^Model_1!Y$54</f>
        <v>0</v>
      </c>
      <c r="Z62" s="134">
        <f>Z9*(1+Dashboard_1!$H$58)^Model_1!Z$54</f>
        <v>0</v>
      </c>
      <c r="AA62" s="134">
        <f>AA9*(1+Dashboard_1!$H$58)^Model_1!AA$54</f>
        <v>0</v>
      </c>
      <c r="AB62" s="134">
        <f>AB9*(1+Dashboard_1!$H$58)^Model_1!AB$54</f>
        <v>0</v>
      </c>
      <c r="AC62" s="134">
        <f>AC9*(1+Dashboard_1!$H$58)^Model_1!AC$54</f>
        <v>0</v>
      </c>
      <c r="AD62" s="134">
        <f>AD9*(1+Dashboard_1!$H$58)^Model_1!AD$54</f>
        <v>0</v>
      </c>
      <c r="AE62" s="134">
        <f>AE9*(1+Dashboard_1!$H$58)^Model_1!AE$54</f>
        <v>0</v>
      </c>
      <c r="AF62" s="134">
        <f>AF9*(1+Dashboard_1!$H$58)^Model_1!AF$54</f>
        <v>0</v>
      </c>
      <c r="AG62" s="134">
        <f>AG9*(1+Dashboard_1!$H$58)^Model_1!AG$54</f>
        <v>0</v>
      </c>
      <c r="AH62" s="134">
        <f>AH9*(1+Dashboard_1!$H$58)^Model_1!AH$54</f>
        <v>0</v>
      </c>
      <c r="AI62" s="134">
        <f>AI9*(1+Dashboard_1!$H$58)^Model_1!AI$54</f>
        <v>0</v>
      </c>
      <c r="AJ62" s="134">
        <f>AJ9*(1+Dashboard_1!$H$58)^Model_1!AJ$54</f>
        <v>0</v>
      </c>
      <c r="AK62" s="134">
        <f>AK9*(1+Dashboard_1!$H$58)^Model_1!AK$54</f>
        <v>0</v>
      </c>
      <c r="AL62" s="134">
        <f>AL9*(1+Dashboard_1!$H$58)^Model_1!AL$54</f>
        <v>0</v>
      </c>
      <c r="AM62" s="134">
        <f>AM9*(1+Dashboard_1!$H$58)^Model_1!AM$54</f>
        <v>0</v>
      </c>
      <c r="AN62" s="134">
        <f>AN9*(1+Dashboard_1!$H$58)^Model_1!AN$54</f>
        <v>0</v>
      </c>
      <c r="AO62" s="134">
        <f>AO9*(1+Dashboard_1!$H$58)^Model_1!AO$54</f>
        <v>0</v>
      </c>
      <c r="AP62" s="134">
        <f>AP9*(1+Dashboard_1!$H$58)^Model_1!AP$54</f>
        <v>0</v>
      </c>
      <c r="AQ62" s="134">
        <f>AQ9*(1+Dashboard_1!$H$58)^Model_1!AQ$54</f>
        <v>0</v>
      </c>
      <c r="AR62" s="134">
        <f>AR9*(1+Dashboard_1!$H$58)^Model_1!AR$54</f>
        <v>0</v>
      </c>
      <c r="AS62" s="134">
        <f>AS9*(1+Dashboard_1!$H$58)^Model_1!AS$54</f>
        <v>0</v>
      </c>
      <c r="AT62" s="134">
        <f>AT9*(1+Dashboard_1!$H$58)^Model_1!AT$54</f>
        <v>0</v>
      </c>
      <c r="AU62" s="134">
        <f>AU9*(1+Dashboard_1!$H$58)^Model_1!AU$54</f>
        <v>0</v>
      </c>
      <c r="AV62" s="134">
        <f>AV9*(1+Dashboard_1!$H$58)^Model_1!AV$54</f>
        <v>0</v>
      </c>
      <c r="AW62" s="134">
        <f>AW9*(1+Dashboard_1!$H$58)^Model_1!AW$54</f>
        <v>0</v>
      </c>
      <c r="AX62" s="134">
        <f>AX9*(1+Dashboard_1!$H$58)^Model_1!AX$54</f>
        <v>0</v>
      </c>
      <c r="AY62" s="134">
        <f>AY9*(1+Dashboard_1!$H$58)^Model_1!AY$54</f>
        <v>0</v>
      </c>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row>
    <row r="63" spans="1:98" s="138" customFormat="1" x14ac:dyDescent="0.45">
      <c r="A63" s="41" t="str">
        <f t="shared" si="90"/>
        <v>Tree removal</v>
      </c>
      <c r="B63" s="134">
        <f>B10*(1+Dashboard_1!$H$58)^Model_1!B$54</f>
        <v>0</v>
      </c>
      <c r="C63" s="134">
        <f>C10*(1+Dashboard_1!$H$58)^Model_1!C$54</f>
        <v>0</v>
      </c>
      <c r="D63" s="134">
        <f>D10*(1+Dashboard_1!$H$58)^Model_1!D$54</f>
        <v>0</v>
      </c>
      <c r="E63" s="134">
        <f>E10*(1+Dashboard_1!$H$58)^Model_1!E$54</f>
        <v>0</v>
      </c>
      <c r="F63" s="134">
        <f>F10*(1+Dashboard_1!$H$58)^Model_1!F$54</f>
        <v>0</v>
      </c>
      <c r="G63" s="134">
        <f>G10*(1+Dashboard_1!$H$58)^Model_1!G$54</f>
        <v>0</v>
      </c>
      <c r="H63" s="134">
        <f>H10*(1+Dashboard_1!$H$58)^Model_1!H$54</f>
        <v>0</v>
      </c>
      <c r="I63" s="134">
        <f>I10*(1+Dashboard_1!$H$58)^Model_1!I$54</f>
        <v>0</v>
      </c>
      <c r="J63" s="134">
        <f>J10*(1+Dashboard_1!$H$58)^Model_1!J$54</f>
        <v>0</v>
      </c>
      <c r="K63" s="134">
        <f>K10*(1+Dashboard_1!$H$58)^Model_1!K$54</f>
        <v>0</v>
      </c>
      <c r="L63" s="134">
        <f>L10*(1+Dashboard_1!$H$58)^Model_1!L$54</f>
        <v>0</v>
      </c>
      <c r="M63" s="134">
        <f>M10*(1+Dashboard_1!$H$58)^Model_1!M$54</f>
        <v>0</v>
      </c>
      <c r="N63" s="134">
        <f>N10*(1+Dashboard_1!$H$58)^Model_1!N$54</f>
        <v>0</v>
      </c>
      <c r="O63" s="134">
        <f>O10*(1+Dashboard_1!$H$58)^Model_1!O$54</f>
        <v>0</v>
      </c>
      <c r="P63" s="134">
        <f>P10*(1+Dashboard_1!$H$58)^Model_1!P$54</f>
        <v>0</v>
      </c>
      <c r="Q63" s="134">
        <f>Q10*(1+Dashboard_1!$H$58)^Model_1!Q$54</f>
        <v>0</v>
      </c>
      <c r="R63" s="134">
        <f>R10*(1+Dashboard_1!$H$58)^Model_1!R$54</f>
        <v>0</v>
      </c>
      <c r="S63" s="134">
        <f>S10*(1+Dashboard_1!$H$58)^Model_1!S$54</f>
        <v>0</v>
      </c>
      <c r="T63" s="134">
        <f>T10*(1+Dashboard_1!$H$58)^Model_1!T$54</f>
        <v>0</v>
      </c>
      <c r="U63" s="134">
        <f>U10*(1+Dashboard_1!$H$58)^Model_1!U$54</f>
        <v>0</v>
      </c>
      <c r="V63" s="134">
        <f>V10*(1+Dashboard_1!$H$58)^Model_1!V$54</f>
        <v>0</v>
      </c>
      <c r="W63" s="134">
        <f>W10*(1+Dashboard_1!$H$58)^Model_1!W$54</f>
        <v>0</v>
      </c>
      <c r="X63" s="134">
        <f>X10*(1+Dashboard_1!$H$58)^Model_1!X$54</f>
        <v>0</v>
      </c>
      <c r="Y63" s="134">
        <f>Y10*(1+Dashboard_1!$H$58)^Model_1!Y$54</f>
        <v>0</v>
      </c>
      <c r="Z63" s="134">
        <f>Z10*(1+Dashboard_1!$H$58)^Model_1!Z$54</f>
        <v>0</v>
      </c>
      <c r="AA63" s="134">
        <f>AA10*(1+Dashboard_1!$H$58)^Model_1!AA$54</f>
        <v>0</v>
      </c>
      <c r="AB63" s="134">
        <f>AB10*(1+Dashboard_1!$H$58)^Model_1!AB$54</f>
        <v>0</v>
      </c>
      <c r="AC63" s="134">
        <f>AC10*(1+Dashboard_1!$H$58)^Model_1!AC$54</f>
        <v>0</v>
      </c>
      <c r="AD63" s="134">
        <f>AD10*(1+Dashboard_1!$H$58)^Model_1!AD$54</f>
        <v>0</v>
      </c>
      <c r="AE63" s="134">
        <f>AE10*(1+Dashboard_1!$H$58)^Model_1!AE$54</f>
        <v>0</v>
      </c>
      <c r="AF63" s="134">
        <f>AF10*(1+Dashboard_1!$H$58)^Model_1!AF$54</f>
        <v>0</v>
      </c>
      <c r="AG63" s="134">
        <f>AG10*(1+Dashboard_1!$H$58)^Model_1!AG$54</f>
        <v>0</v>
      </c>
      <c r="AH63" s="134">
        <f>AH10*(1+Dashboard_1!$H$58)^Model_1!AH$54</f>
        <v>0</v>
      </c>
      <c r="AI63" s="134">
        <f>AI10*(1+Dashboard_1!$H$58)^Model_1!AI$54</f>
        <v>0</v>
      </c>
      <c r="AJ63" s="134">
        <f>AJ10*(1+Dashboard_1!$H$58)^Model_1!AJ$54</f>
        <v>0</v>
      </c>
      <c r="AK63" s="134">
        <f>AK10*(1+Dashboard_1!$H$58)^Model_1!AK$54</f>
        <v>0</v>
      </c>
      <c r="AL63" s="134">
        <f>AL10*(1+Dashboard_1!$H$58)^Model_1!AL$54</f>
        <v>0</v>
      </c>
      <c r="AM63" s="134">
        <f>AM10*(1+Dashboard_1!$H$58)^Model_1!AM$54</f>
        <v>0</v>
      </c>
      <c r="AN63" s="134">
        <f>AN10*(1+Dashboard_1!$H$58)^Model_1!AN$54</f>
        <v>0</v>
      </c>
      <c r="AO63" s="134">
        <f>AO10*(1+Dashboard_1!$H$58)^Model_1!AO$54</f>
        <v>0</v>
      </c>
      <c r="AP63" s="134">
        <f>AP10*(1+Dashboard_1!$H$58)^Model_1!AP$54</f>
        <v>0</v>
      </c>
      <c r="AQ63" s="134">
        <f>AQ10*(1+Dashboard_1!$H$58)^Model_1!AQ$54</f>
        <v>0</v>
      </c>
      <c r="AR63" s="134">
        <f>AR10*(1+Dashboard_1!$H$58)^Model_1!AR$54</f>
        <v>0</v>
      </c>
      <c r="AS63" s="134">
        <f>AS10*(1+Dashboard_1!$H$58)^Model_1!AS$54</f>
        <v>0</v>
      </c>
      <c r="AT63" s="134">
        <f>AT10*(1+Dashboard_1!$H$58)^Model_1!AT$54</f>
        <v>0</v>
      </c>
      <c r="AU63" s="134">
        <f>AU10*(1+Dashboard_1!$H$58)^Model_1!AU$54</f>
        <v>0</v>
      </c>
      <c r="AV63" s="134">
        <f>AV10*(1+Dashboard_1!$H$58)^Model_1!AV$54</f>
        <v>0</v>
      </c>
      <c r="AW63" s="134">
        <f>AW10*(1+Dashboard_1!$H$58)^Model_1!AW$54</f>
        <v>0</v>
      </c>
      <c r="AX63" s="134">
        <f>AX10*(1+Dashboard_1!$H$58)^Model_1!AX$54</f>
        <v>0</v>
      </c>
      <c r="AY63" s="134">
        <f>AY10*(1+Dashboard_1!$H$58)^Model_1!AY$54</f>
        <v>0</v>
      </c>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row>
    <row r="64" spans="1:98" s="138" customFormat="1" x14ac:dyDescent="0.45">
      <c r="A64" s="41" t="str">
        <f t="shared" si="90"/>
        <v>Soil cost ($/m3)</v>
      </c>
      <c r="B64" s="134">
        <f>B11*(1+Dashboard_1!$H$58)^Model_1!B$54</f>
        <v>3182.4</v>
      </c>
      <c r="C64" s="134">
        <f>C11*(1+Dashboard_1!$H$58)^Model_1!C$54</f>
        <v>0</v>
      </c>
      <c r="D64" s="134">
        <f>D11*(1+Dashboard_1!$H$58)^Model_1!D$54</f>
        <v>0</v>
      </c>
      <c r="E64" s="134">
        <f>E11*(1+Dashboard_1!$H$58)^Model_1!E$54</f>
        <v>0</v>
      </c>
      <c r="F64" s="134">
        <f>F11*(1+Dashboard_1!$H$58)^Model_1!F$54</f>
        <v>0</v>
      </c>
      <c r="G64" s="134">
        <f>G11*(1+Dashboard_1!$H$58)^Model_1!G$54</f>
        <v>0</v>
      </c>
      <c r="H64" s="134">
        <f>H11*(1+Dashboard_1!$H$58)^Model_1!H$54</f>
        <v>0</v>
      </c>
      <c r="I64" s="134">
        <f>I11*(1+Dashboard_1!$H$58)^Model_1!I$54</f>
        <v>0</v>
      </c>
      <c r="J64" s="134">
        <f>J11*(1+Dashboard_1!$H$58)^Model_1!J$54</f>
        <v>0</v>
      </c>
      <c r="K64" s="134">
        <f>K11*(1+Dashboard_1!$H$58)^Model_1!K$54</f>
        <v>0</v>
      </c>
      <c r="L64" s="134">
        <f>L11*(1+Dashboard_1!$H$58)^Model_1!L$54</f>
        <v>0</v>
      </c>
      <c r="M64" s="134">
        <f>M11*(1+Dashboard_1!$H$58)^Model_1!M$54</f>
        <v>0</v>
      </c>
      <c r="N64" s="134">
        <f>N11*(1+Dashboard_1!$H$58)^Model_1!N$54</f>
        <v>0</v>
      </c>
      <c r="O64" s="134">
        <f>O11*(1+Dashboard_1!$H$58)^Model_1!O$54</f>
        <v>0</v>
      </c>
      <c r="P64" s="134">
        <f>P11*(1+Dashboard_1!$H$58)^Model_1!P$54</f>
        <v>0</v>
      </c>
      <c r="Q64" s="134">
        <f>Q11*(1+Dashboard_1!$H$58)^Model_1!Q$54</f>
        <v>0</v>
      </c>
      <c r="R64" s="134">
        <f>R11*(1+Dashboard_1!$H$58)^Model_1!R$54</f>
        <v>0</v>
      </c>
      <c r="S64" s="134">
        <f>S11*(1+Dashboard_1!$H$58)^Model_1!S$54</f>
        <v>0</v>
      </c>
      <c r="T64" s="134">
        <f>T11*(1+Dashboard_1!$H$58)^Model_1!T$54</f>
        <v>0</v>
      </c>
      <c r="U64" s="134">
        <f>U11*(1+Dashboard_1!$H$58)^Model_1!U$54</f>
        <v>0</v>
      </c>
      <c r="V64" s="134">
        <f>V11*(1+Dashboard_1!$H$58)^Model_1!V$54</f>
        <v>0</v>
      </c>
      <c r="W64" s="134">
        <f>W11*(1+Dashboard_1!$H$58)^Model_1!W$54</f>
        <v>0</v>
      </c>
      <c r="X64" s="134">
        <f>X11*(1+Dashboard_1!$H$58)^Model_1!X$54</f>
        <v>0</v>
      </c>
      <c r="Y64" s="134">
        <f>Y11*(1+Dashboard_1!$H$58)^Model_1!Y$54</f>
        <v>0</v>
      </c>
      <c r="Z64" s="134">
        <f>Z11*(1+Dashboard_1!$H$58)^Model_1!Z$54</f>
        <v>0</v>
      </c>
      <c r="AA64" s="134">
        <f>AA11*(1+Dashboard_1!$H$58)^Model_1!AA$54</f>
        <v>0</v>
      </c>
      <c r="AB64" s="134">
        <f>AB11*(1+Dashboard_1!$H$58)^Model_1!AB$54</f>
        <v>0</v>
      </c>
      <c r="AC64" s="134">
        <f>AC11*(1+Dashboard_1!$H$58)^Model_1!AC$54</f>
        <v>0</v>
      </c>
      <c r="AD64" s="134">
        <f>AD11*(1+Dashboard_1!$H$58)^Model_1!AD$54</f>
        <v>0</v>
      </c>
      <c r="AE64" s="134">
        <f>AE11*(1+Dashboard_1!$H$58)^Model_1!AE$54</f>
        <v>0</v>
      </c>
      <c r="AF64" s="134">
        <f>AF11*(1+Dashboard_1!$H$58)^Model_1!AF$54</f>
        <v>0</v>
      </c>
      <c r="AG64" s="134">
        <f>AG11*(1+Dashboard_1!$H$58)^Model_1!AG$54</f>
        <v>0</v>
      </c>
      <c r="AH64" s="134">
        <f>AH11*(1+Dashboard_1!$H$58)^Model_1!AH$54</f>
        <v>0</v>
      </c>
      <c r="AI64" s="134">
        <f>AI11*(1+Dashboard_1!$H$58)^Model_1!AI$54</f>
        <v>0</v>
      </c>
      <c r="AJ64" s="134">
        <f>AJ11*(1+Dashboard_1!$H$58)^Model_1!AJ$54</f>
        <v>0</v>
      </c>
      <c r="AK64" s="134">
        <f>AK11*(1+Dashboard_1!$H$58)^Model_1!AK$54</f>
        <v>0</v>
      </c>
      <c r="AL64" s="134">
        <f>AL11*(1+Dashboard_1!$H$58)^Model_1!AL$54</f>
        <v>0</v>
      </c>
      <c r="AM64" s="134">
        <f>AM11*(1+Dashboard_1!$H$58)^Model_1!AM$54</f>
        <v>0</v>
      </c>
      <c r="AN64" s="134">
        <f>AN11*(1+Dashboard_1!$H$58)^Model_1!AN$54</f>
        <v>0</v>
      </c>
      <c r="AO64" s="134">
        <f>AO11*(1+Dashboard_1!$H$58)^Model_1!AO$54</f>
        <v>0</v>
      </c>
      <c r="AP64" s="134">
        <f>AP11*(1+Dashboard_1!$H$58)^Model_1!AP$54</f>
        <v>0</v>
      </c>
      <c r="AQ64" s="134">
        <f>AQ11*(1+Dashboard_1!$H$58)^Model_1!AQ$54</f>
        <v>0</v>
      </c>
      <c r="AR64" s="134">
        <f>AR11*(1+Dashboard_1!$H$58)^Model_1!AR$54</f>
        <v>0</v>
      </c>
      <c r="AS64" s="134">
        <f>AS11*(1+Dashboard_1!$H$58)^Model_1!AS$54</f>
        <v>0</v>
      </c>
      <c r="AT64" s="134">
        <f>AT11*(1+Dashboard_1!$H$58)^Model_1!AT$54</f>
        <v>0</v>
      </c>
      <c r="AU64" s="134">
        <f>AU11*(1+Dashboard_1!$H$58)^Model_1!AU$54</f>
        <v>0</v>
      </c>
      <c r="AV64" s="134">
        <f>AV11*(1+Dashboard_1!$H$58)^Model_1!AV$54</f>
        <v>0</v>
      </c>
      <c r="AW64" s="134">
        <f>AW11*(1+Dashboard_1!$H$58)^Model_1!AW$54</f>
        <v>0</v>
      </c>
      <c r="AX64" s="134">
        <f>AX11*(1+Dashboard_1!$H$58)^Model_1!AX$54</f>
        <v>0</v>
      </c>
      <c r="AY64" s="134">
        <f>AY11*(1+Dashboard_1!$H$58)^Model_1!AY$54</f>
        <v>0</v>
      </c>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row>
    <row r="65" spans="1:98" s="138" customFormat="1" x14ac:dyDescent="0.45">
      <c r="A65" s="41" t="str">
        <f t="shared" si="90"/>
        <v>Tree protection fencing ($)</v>
      </c>
      <c r="B65" s="134">
        <f>B12*(1+Dashboard_1!$H$58)^Model_1!B$54</f>
        <v>250</v>
      </c>
      <c r="C65" s="134">
        <f>C12*(1+Dashboard_1!$H$58)^Model_1!C$54</f>
        <v>0</v>
      </c>
      <c r="D65" s="134">
        <f>D12*(1+Dashboard_1!$H$58)^Model_1!D$54</f>
        <v>0</v>
      </c>
      <c r="E65" s="134">
        <f>E12*(1+Dashboard_1!$H$58)^Model_1!E$54</f>
        <v>0</v>
      </c>
      <c r="F65" s="134">
        <f>F12*(1+Dashboard_1!$H$58)^Model_1!F$54</f>
        <v>0</v>
      </c>
      <c r="G65" s="134">
        <f>G12*(1+Dashboard_1!$H$58)^Model_1!G$54</f>
        <v>0</v>
      </c>
      <c r="H65" s="134">
        <f>H12*(1+Dashboard_1!$H$58)^Model_1!H$54</f>
        <v>0</v>
      </c>
      <c r="I65" s="134">
        <f>I12*(1+Dashboard_1!$H$58)^Model_1!I$54</f>
        <v>0</v>
      </c>
      <c r="J65" s="134">
        <f>J12*(1+Dashboard_1!$H$58)^Model_1!J$54</f>
        <v>0</v>
      </c>
      <c r="K65" s="134">
        <f>K12*(1+Dashboard_1!$H$58)^Model_1!K$54</f>
        <v>0</v>
      </c>
      <c r="L65" s="134">
        <f>L12*(1+Dashboard_1!$H$58)^Model_1!L$54</f>
        <v>0</v>
      </c>
      <c r="M65" s="134">
        <f>M12*(1+Dashboard_1!$H$58)^Model_1!M$54</f>
        <v>0</v>
      </c>
      <c r="N65" s="134">
        <f>N12*(1+Dashboard_1!$H$58)^Model_1!N$54</f>
        <v>0</v>
      </c>
      <c r="O65" s="134">
        <f>O12*(1+Dashboard_1!$H$58)^Model_1!O$54</f>
        <v>0</v>
      </c>
      <c r="P65" s="134">
        <f>P12*(1+Dashboard_1!$H$58)^Model_1!P$54</f>
        <v>0</v>
      </c>
      <c r="Q65" s="134">
        <f>Q12*(1+Dashboard_1!$H$58)^Model_1!Q$54</f>
        <v>0</v>
      </c>
      <c r="R65" s="134">
        <f>R12*(1+Dashboard_1!$H$58)^Model_1!R$54</f>
        <v>0</v>
      </c>
      <c r="S65" s="134">
        <f>S12*(1+Dashboard_1!$H$58)^Model_1!S$54</f>
        <v>0</v>
      </c>
      <c r="T65" s="134">
        <f>T12*(1+Dashboard_1!$H$58)^Model_1!T$54</f>
        <v>0</v>
      </c>
      <c r="U65" s="134">
        <f>U12*(1+Dashboard_1!$H$58)^Model_1!U$54</f>
        <v>0</v>
      </c>
      <c r="V65" s="134">
        <f>V12*(1+Dashboard_1!$H$58)^Model_1!V$54</f>
        <v>0</v>
      </c>
      <c r="W65" s="134">
        <f>W12*(1+Dashboard_1!$H$58)^Model_1!W$54</f>
        <v>0</v>
      </c>
      <c r="X65" s="134">
        <f>X12*(1+Dashboard_1!$H$58)^Model_1!X$54</f>
        <v>0</v>
      </c>
      <c r="Y65" s="134">
        <f>Y12*(1+Dashboard_1!$H$58)^Model_1!Y$54</f>
        <v>0</v>
      </c>
      <c r="Z65" s="134">
        <f>Z12*(1+Dashboard_1!$H$58)^Model_1!Z$54</f>
        <v>0</v>
      </c>
      <c r="AA65" s="134">
        <f>AA12*(1+Dashboard_1!$H$58)^Model_1!AA$54</f>
        <v>0</v>
      </c>
      <c r="AB65" s="134">
        <f>AB12*(1+Dashboard_1!$H$58)^Model_1!AB$54</f>
        <v>0</v>
      </c>
      <c r="AC65" s="134">
        <f>AC12*(1+Dashboard_1!$H$58)^Model_1!AC$54</f>
        <v>0</v>
      </c>
      <c r="AD65" s="134">
        <f>AD12*(1+Dashboard_1!$H$58)^Model_1!AD$54</f>
        <v>0</v>
      </c>
      <c r="AE65" s="134">
        <f>AE12*(1+Dashboard_1!$H$58)^Model_1!AE$54</f>
        <v>0</v>
      </c>
      <c r="AF65" s="134">
        <f>AF12*(1+Dashboard_1!$H$58)^Model_1!AF$54</f>
        <v>0</v>
      </c>
      <c r="AG65" s="134">
        <f>AG12*(1+Dashboard_1!$H$58)^Model_1!AG$54</f>
        <v>0</v>
      </c>
      <c r="AH65" s="134">
        <f>AH12*(1+Dashboard_1!$H$58)^Model_1!AH$54</f>
        <v>0</v>
      </c>
      <c r="AI65" s="134">
        <f>AI12*(1+Dashboard_1!$H$58)^Model_1!AI$54</f>
        <v>0</v>
      </c>
      <c r="AJ65" s="134">
        <f>AJ12*(1+Dashboard_1!$H$58)^Model_1!AJ$54</f>
        <v>0</v>
      </c>
      <c r="AK65" s="134">
        <f>AK12*(1+Dashboard_1!$H$58)^Model_1!AK$54</f>
        <v>0</v>
      </c>
      <c r="AL65" s="134">
        <f>AL12*(1+Dashboard_1!$H$58)^Model_1!AL$54</f>
        <v>0</v>
      </c>
      <c r="AM65" s="134">
        <f>AM12*(1+Dashboard_1!$H$58)^Model_1!AM$54</f>
        <v>0</v>
      </c>
      <c r="AN65" s="134">
        <f>AN12*(1+Dashboard_1!$H$58)^Model_1!AN$54</f>
        <v>0</v>
      </c>
      <c r="AO65" s="134">
        <f>AO12*(1+Dashboard_1!$H$58)^Model_1!AO$54</f>
        <v>0</v>
      </c>
      <c r="AP65" s="134">
        <f>AP12*(1+Dashboard_1!$H$58)^Model_1!AP$54</f>
        <v>0</v>
      </c>
      <c r="AQ65" s="134">
        <f>AQ12*(1+Dashboard_1!$H$58)^Model_1!AQ$54</f>
        <v>0</v>
      </c>
      <c r="AR65" s="134">
        <f>AR12*(1+Dashboard_1!$H$58)^Model_1!AR$54</f>
        <v>0</v>
      </c>
      <c r="AS65" s="134">
        <f>AS12*(1+Dashboard_1!$H$58)^Model_1!AS$54</f>
        <v>0</v>
      </c>
      <c r="AT65" s="134">
        <f>AT12*(1+Dashboard_1!$H$58)^Model_1!AT$54</f>
        <v>0</v>
      </c>
      <c r="AU65" s="134">
        <f>AU12*(1+Dashboard_1!$H$58)^Model_1!AU$54</f>
        <v>0</v>
      </c>
      <c r="AV65" s="134">
        <f>AV12*(1+Dashboard_1!$H$58)^Model_1!AV$54</f>
        <v>0</v>
      </c>
      <c r="AW65" s="134">
        <f>AW12*(1+Dashboard_1!$H$58)^Model_1!AW$54</f>
        <v>0</v>
      </c>
      <c r="AX65" s="134">
        <f>AX12*(1+Dashboard_1!$H$58)^Model_1!AX$54</f>
        <v>0</v>
      </c>
      <c r="AY65" s="134">
        <f>AY12*(1+Dashboard_1!$H$58)^Model_1!AY$54</f>
        <v>0</v>
      </c>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row>
    <row r="66" spans="1:98" s="138" customFormat="1" x14ac:dyDescent="0.45">
      <c r="A66" s="41" t="str">
        <f t="shared" si="90"/>
        <v>Traffic control cost ($)</v>
      </c>
      <c r="B66" s="134">
        <f>B13*(1+Dashboard_1!$H$58)^Model_1!B$54</f>
        <v>0</v>
      </c>
      <c r="C66" s="134">
        <f>C13*(1+Dashboard_1!$H$58)^Model_1!C$54</f>
        <v>0</v>
      </c>
      <c r="D66" s="134">
        <f>D13*(1+Dashboard_1!$H$58)^Model_1!D$54</f>
        <v>0</v>
      </c>
      <c r="E66" s="134">
        <f>E13*(1+Dashboard_1!$H$58)^Model_1!E$54</f>
        <v>0</v>
      </c>
      <c r="F66" s="134">
        <f>F13*(1+Dashboard_1!$H$58)^Model_1!F$54</f>
        <v>0</v>
      </c>
      <c r="G66" s="134">
        <f>G13*(1+Dashboard_1!$H$58)^Model_1!G$54</f>
        <v>0</v>
      </c>
      <c r="H66" s="134">
        <f>H13*(1+Dashboard_1!$H$58)^Model_1!H$54</f>
        <v>0</v>
      </c>
      <c r="I66" s="134">
        <f>I13*(1+Dashboard_1!$H$58)^Model_1!I$54</f>
        <v>0</v>
      </c>
      <c r="J66" s="134">
        <f>J13*(1+Dashboard_1!$H$58)^Model_1!J$54</f>
        <v>0</v>
      </c>
      <c r="K66" s="134">
        <f>K13*(1+Dashboard_1!$H$58)^Model_1!K$54</f>
        <v>0</v>
      </c>
      <c r="L66" s="134">
        <f>L13*(1+Dashboard_1!$H$58)^Model_1!L$54</f>
        <v>0</v>
      </c>
      <c r="M66" s="134">
        <f>M13*(1+Dashboard_1!$H$58)^Model_1!M$54</f>
        <v>0</v>
      </c>
      <c r="N66" s="134">
        <f>N13*(1+Dashboard_1!$H$58)^Model_1!N$54</f>
        <v>0</v>
      </c>
      <c r="O66" s="134">
        <f>O13*(1+Dashboard_1!$H$58)^Model_1!O$54</f>
        <v>0</v>
      </c>
      <c r="P66" s="134">
        <f>P13*(1+Dashboard_1!$H$58)^Model_1!P$54</f>
        <v>0</v>
      </c>
      <c r="Q66" s="134">
        <f>Q13*(1+Dashboard_1!$H$58)^Model_1!Q$54</f>
        <v>0</v>
      </c>
      <c r="R66" s="134">
        <f>R13*(1+Dashboard_1!$H$58)^Model_1!R$54</f>
        <v>0</v>
      </c>
      <c r="S66" s="134">
        <f>S13*(1+Dashboard_1!$H$58)^Model_1!S$54</f>
        <v>0</v>
      </c>
      <c r="T66" s="134">
        <f>T13*(1+Dashboard_1!$H$58)^Model_1!T$54</f>
        <v>0</v>
      </c>
      <c r="U66" s="134">
        <f>U13*(1+Dashboard_1!$H$58)^Model_1!U$54</f>
        <v>0</v>
      </c>
      <c r="V66" s="134">
        <f>V13*(1+Dashboard_1!$H$58)^Model_1!V$54</f>
        <v>0</v>
      </c>
      <c r="W66" s="134">
        <f>W13*(1+Dashboard_1!$H$58)^Model_1!W$54</f>
        <v>0</v>
      </c>
      <c r="X66" s="134">
        <f>X13*(1+Dashboard_1!$H$58)^Model_1!X$54</f>
        <v>0</v>
      </c>
      <c r="Y66" s="134">
        <f>Y13*(1+Dashboard_1!$H$58)^Model_1!Y$54</f>
        <v>0</v>
      </c>
      <c r="Z66" s="134">
        <f>Z13*(1+Dashboard_1!$H$58)^Model_1!Z$54</f>
        <v>0</v>
      </c>
      <c r="AA66" s="134">
        <f>AA13*(1+Dashboard_1!$H$58)^Model_1!AA$54</f>
        <v>0</v>
      </c>
      <c r="AB66" s="134">
        <f>AB13*(1+Dashboard_1!$H$58)^Model_1!AB$54</f>
        <v>0</v>
      </c>
      <c r="AC66" s="134">
        <f>AC13*(1+Dashboard_1!$H$58)^Model_1!AC$54</f>
        <v>0</v>
      </c>
      <c r="AD66" s="134">
        <f>AD13*(1+Dashboard_1!$H$58)^Model_1!AD$54</f>
        <v>0</v>
      </c>
      <c r="AE66" s="134">
        <f>AE13*(1+Dashboard_1!$H$58)^Model_1!AE$54</f>
        <v>0</v>
      </c>
      <c r="AF66" s="134">
        <f>AF13*(1+Dashboard_1!$H$58)^Model_1!AF$54</f>
        <v>0</v>
      </c>
      <c r="AG66" s="134">
        <f>AG13*(1+Dashboard_1!$H$58)^Model_1!AG$54</f>
        <v>0</v>
      </c>
      <c r="AH66" s="134">
        <f>AH13*(1+Dashboard_1!$H$58)^Model_1!AH$54</f>
        <v>0</v>
      </c>
      <c r="AI66" s="134">
        <f>AI13*(1+Dashboard_1!$H$58)^Model_1!AI$54</f>
        <v>0</v>
      </c>
      <c r="AJ66" s="134">
        <f>AJ13*(1+Dashboard_1!$H$58)^Model_1!AJ$54</f>
        <v>0</v>
      </c>
      <c r="AK66" s="134">
        <f>AK13*(1+Dashboard_1!$H$58)^Model_1!AK$54</f>
        <v>0</v>
      </c>
      <c r="AL66" s="134">
        <f>AL13*(1+Dashboard_1!$H$58)^Model_1!AL$54</f>
        <v>0</v>
      </c>
      <c r="AM66" s="134">
        <f>AM13*(1+Dashboard_1!$H$58)^Model_1!AM$54</f>
        <v>0</v>
      </c>
      <c r="AN66" s="134">
        <f>AN13*(1+Dashboard_1!$H$58)^Model_1!AN$54</f>
        <v>0</v>
      </c>
      <c r="AO66" s="134">
        <f>AO13*(1+Dashboard_1!$H$58)^Model_1!AO$54</f>
        <v>0</v>
      </c>
      <c r="AP66" s="134">
        <f>AP13*(1+Dashboard_1!$H$58)^Model_1!AP$54</f>
        <v>0</v>
      </c>
      <c r="AQ66" s="134">
        <f>AQ13*(1+Dashboard_1!$H$58)^Model_1!AQ$54</f>
        <v>0</v>
      </c>
      <c r="AR66" s="134">
        <f>AR13*(1+Dashboard_1!$H$58)^Model_1!AR$54</f>
        <v>0</v>
      </c>
      <c r="AS66" s="134">
        <f>AS13*(1+Dashboard_1!$H$58)^Model_1!AS$54</f>
        <v>0</v>
      </c>
      <c r="AT66" s="134">
        <f>AT13*(1+Dashboard_1!$H$58)^Model_1!AT$54</f>
        <v>0</v>
      </c>
      <c r="AU66" s="134">
        <f>AU13*(1+Dashboard_1!$H$58)^Model_1!AU$54</f>
        <v>0</v>
      </c>
      <c r="AV66" s="134">
        <f>AV13*(1+Dashboard_1!$H$58)^Model_1!AV$54</f>
        <v>0</v>
      </c>
      <c r="AW66" s="134">
        <f>AW13*(1+Dashboard_1!$H$58)^Model_1!AW$54</f>
        <v>0</v>
      </c>
      <c r="AX66" s="134">
        <f>AX13*(1+Dashboard_1!$H$58)^Model_1!AX$54</f>
        <v>0</v>
      </c>
      <c r="AY66" s="134">
        <f>AY13*(1+Dashboard_1!$H$58)^Model_1!AY$54</f>
        <v>0</v>
      </c>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row>
    <row r="67" spans="1:98" s="138" customFormat="1" x14ac:dyDescent="0.45">
      <c r="A67" s="41" t="str">
        <f t="shared" si="90"/>
        <v>Guard rails</v>
      </c>
      <c r="B67" s="134">
        <f>B14*(1+Dashboard_1!$H$58)^Model_1!B$54</f>
        <v>0</v>
      </c>
      <c r="C67" s="134">
        <f>C14*(1+Dashboard_1!$H$58)^Model_1!C$54</f>
        <v>0</v>
      </c>
      <c r="D67" s="134">
        <f>D14*(1+Dashboard_1!$H$58)^Model_1!D$54</f>
        <v>0</v>
      </c>
      <c r="E67" s="134">
        <f>E14*(1+Dashboard_1!$H$58)^Model_1!E$54</f>
        <v>0</v>
      </c>
      <c r="F67" s="134">
        <f>F14*(1+Dashboard_1!$H$58)^Model_1!F$54</f>
        <v>0</v>
      </c>
      <c r="G67" s="134">
        <f>G14*(1+Dashboard_1!$H$58)^Model_1!G$54</f>
        <v>0</v>
      </c>
      <c r="H67" s="134">
        <f>H14*(1+Dashboard_1!$H$58)^Model_1!H$54</f>
        <v>0</v>
      </c>
      <c r="I67" s="134">
        <f>I14*(1+Dashboard_1!$H$58)^Model_1!I$54</f>
        <v>0</v>
      </c>
      <c r="J67" s="134">
        <f>J14*(1+Dashboard_1!$H$58)^Model_1!J$54</f>
        <v>0</v>
      </c>
      <c r="K67" s="134">
        <f>K14*(1+Dashboard_1!$H$58)^Model_1!K$54</f>
        <v>0</v>
      </c>
      <c r="L67" s="134">
        <f>L14*(1+Dashboard_1!$H$58)^Model_1!L$54</f>
        <v>0</v>
      </c>
      <c r="M67" s="134">
        <f>M14*(1+Dashboard_1!$H$58)^Model_1!M$54</f>
        <v>0</v>
      </c>
      <c r="N67" s="134">
        <f>N14*(1+Dashboard_1!$H$58)^Model_1!N$54</f>
        <v>0</v>
      </c>
      <c r="O67" s="134">
        <f>O14*(1+Dashboard_1!$H$58)^Model_1!O$54</f>
        <v>0</v>
      </c>
      <c r="P67" s="134">
        <f>P14*(1+Dashboard_1!$H$58)^Model_1!P$54</f>
        <v>0</v>
      </c>
      <c r="Q67" s="134">
        <f>Q14*(1+Dashboard_1!$H$58)^Model_1!Q$54</f>
        <v>0</v>
      </c>
      <c r="R67" s="134">
        <f>R14*(1+Dashboard_1!$H$58)^Model_1!R$54</f>
        <v>0</v>
      </c>
      <c r="S67" s="134">
        <f>S14*(1+Dashboard_1!$H$58)^Model_1!S$54</f>
        <v>0</v>
      </c>
      <c r="T67" s="134">
        <f>T14*(1+Dashboard_1!$H$58)^Model_1!T$54</f>
        <v>0</v>
      </c>
      <c r="U67" s="134">
        <f>U14*(1+Dashboard_1!$H$58)^Model_1!U$54</f>
        <v>0</v>
      </c>
      <c r="V67" s="134">
        <f>V14*(1+Dashboard_1!$H$58)^Model_1!V$54</f>
        <v>0</v>
      </c>
      <c r="W67" s="134">
        <f>W14*(1+Dashboard_1!$H$58)^Model_1!W$54</f>
        <v>0</v>
      </c>
      <c r="X67" s="134">
        <f>X14*(1+Dashboard_1!$H$58)^Model_1!X$54</f>
        <v>0</v>
      </c>
      <c r="Y67" s="134">
        <f>Y14*(1+Dashboard_1!$H$58)^Model_1!Y$54</f>
        <v>0</v>
      </c>
      <c r="Z67" s="134">
        <f>Z14*(1+Dashboard_1!$H$58)^Model_1!Z$54</f>
        <v>0</v>
      </c>
      <c r="AA67" s="134">
        <f>AA14*(1+Dashboard_1!$H$58)^Model_1!AA$54</f>
        <v>0</v>
      </c>
      <c r="AB67" s="134">
        <f>AB14*(1+Dashboard_1!$H$58)^Model_1!AB$54</f>
        <v>0</v>
      </c>
      <c r="AC67" s="134">
        <f>AC14*(1+Dashboard_1!$H$58)^Model_1!AC$54</f>
        <v>0</v>
      </c>
      <c r="AD67" s="134">
        <f>AD14*(1+Dashboard_1!$H$58)^Model_1!AD$54</f>
        <v>0</v>
      </c>
      <c r="AE67" s="134">
        <f>AE14*(1+Dashboard_1!$H$58)^Model_1!AE$54</f>
        <v>0</v>
      </c>
      <c r="AF67" s="134">
        <f>AF14*(1+Dashboard_1!$H$58)^Model_1!AF$54</f>
        <v>0</v>
      </c>
      <c r="AG67" s="134">
        <f>AG14*(1+Dashboard_1!$H$58)^Model_1!AG$54</f>
        <v>0</v>
      </c>
      <c r="AH67" s="134">
        <f>AH14*(1+Dashboard_1!$H$58)^Model_1!AH$54</f>
        <v>0</v>
      </c>
      <c r="AI67" s="134">
        <f>AI14*(1+Dashboard_1!$H$58)^Model_1!AI$54</f>
        <v>0</v>
      </c>
      <c r="AJ67" s="134">
        <f>AJ14*(1+Dashboard_1!$H$58)^Model_1!AJ$54</f>
        <v>0</v>
      </c>
      <c r="AK67" s="134">
        <f>AK14*(1+Dashboard_1!$H$58)^Model_1!AK$54</f>
        <v>0</v>
      </c>
      <c r="AL67" s="134">
        <f>AL14*(1+Dashboard_1!$H$58)^Model_1!AL$54</f>
        <v>0</v>
      </c>
      <c r="AM67" s="134">
        <f>AM14*(1+Dashboard_1!$H$58)^Model_1!AM$54</f>
        <v>0</v>
      </c>
      <c r="AN67" s="134">
        <f>AN14*(1+Dashboard_1!$H$58)^Model_1!AN$54</f>
        <v>0</v>
      </c>
      <c r="AO67" s="134">
        <f>AO14*(1+Dashboard_1!$H$58)^Model_1!AO$54</f>
        <v>0</v>
      </c>
      <c r="AP67" s="134">
        <f>AP14*(1+Dashboard_1!$H$58)^Model_1!AP$54</f>
        <v>0</v>
      </c>
      <c r="AQ67" s="134">
        <f>AQ14*(1+Dashboard_1!$H$58)^Model_1!AQ$54</f>
        <v>0</v>
      </c>
      <c r="AR67" s="134">
        <f>AR14*(1+Dashboard_1!$H$58)^Model_1!AR$54</f>
        <v>0</v>
      </c>
      <c r="AS67" s="134">
        <f>AS14*(1+Dashboard_1!$H$58)^Model_1!AS$54</f>
        <v>0</v>
      </c>
      <c r="AT67" s="134">
        <f>AT14*(1+Dashboard_1!$H$58)^Model_1!AT$54</f>
        <v>0</v>
      </c>
      <c r="AU67" s="134">
        <f>AU14*(1+Dashboard_1!$H$58)^Model_1!AU$54</f>
        <v>0</v>
      </c>
      <c r="AV67" s="134">
        <f>AV14*(1+Dashboard_1!$H$58)^Model_1!AV$54</f>
        <v>0</v>
      </c>
      <c r="AW67" s="134">
        <f>AW14*(1+Dashboard_1!$H$58)^Model_1!AW$54</f>
        <v>0</v>
      </c>
      <c r="AX67" s="134">
        <f>AX14*(1+Dashboard_1!$H$58)^Model_1!AX$54</f>
        <v>0</v>
      </c>
      <c r="AY67" s="134">
        <f>AY14*(1+Dashboard_1!$H$58)^Model_1!AY$54</f>
        <v>0</v>
      </c>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row>
    <row r="68" spans="1:98" s="138" customFormat="1" x14ac:dyDescent="0.45">
      <c r="A68" s="41" t="str">
        <f t="shared" si="90"/>
        <v>StrataVault or Strata cells ($)</v>
      </c>
      <c r="B68" s="134">
        <f>B15*(1+Dashboard_1!$H$58)^Model_1!B$54</f>
        <v>0</v>
      </c>
      <c r="C68" s="134">
        <f>C15*(1+Dashboard_1!$H$58)^Model_1!C$54</f>
        <v>0</v>
      </c>
      <c r="D68" s="134">
        <f>D15*(1+Dashboard_1!$H$58)^Model_1!D$54</f>
        <v>0</v>
      </c>
      <c r="E68" s="134">
        <f>E15*(1+Dashboard_1!$H$58)^Model_1!E$54</f>
        <v>0</v>
      </c>
      <c r="F68" s="134">
        <f>F15*(1+Dashboard_1!$H$58)^Model_1!F$54</f>
        <v>0</v>
      </c>
      <c r="G68" s="134">
        <f>G15*(1+Dashboard_1!$H$58)^Model_1!G$54</f>
        <v>0</v>
      </c>
      <c r="H68" s="134">
        <f>H15*(1+Dashboard_1!$H$58)^Model_1!H$54</f>
        <v>0</v>
      </c>
      <c r="I68" s="134">
        <f>I15*(1+Dashboard_1!$H$58)^Model_1!I$54</f>
        <v>0</v>
      </c>
      <c r="J68" s="134">
        <f>J15*(1+Dashboard_1!$H$58)^Model_1!J$54</f>
        <v>0</v>
      </c>
      <c r="K68" s="134">
        <f>K15*(1+Dashboard_1!$H$58)^Model_1!K$54</f>
        <v>0</v>
      </c>
      <c r="L68" s="134">
        <f>L15*(1+Dashboard_1!$H$58)^Model_1!L$54</f>
        <v>0</v>
      </c>
      <c r="M68" s="134">
        <f>M15*(1+Dashboard_1!$H$58)^Model_1!M$54</f>
        <v>0</v>
      </c>
      <c r="N68" s="134">
        <f>N15*(1+Dashboard_1!$H$58)^Model_1!N$54</f>
        <v>0</v>
      </c>
      <c r="O68" s="134">
        <f>O15*(1+Dashboard_1!$H$58)^Model_1!O$54</f>
        <v>0</v>
      </c>
      <c r="P68" s="134">
        <f>P15*(1+Dashboard_1!$H$58)^Model_1!P$54</f>
        <v>0</v>
      </c>
      <c r="Q68" s="134">
        <f>Q15*(1+Dashboard_1!$H$58)^Model_1!Q$54</f>
        <v>0</v>
      </c>
      <c r="R68" s="134">
        <f>R15*(1+Dashboard_1!$H$58)^Model_1!R$54</f>
        <v>0</v>
      </c>
      <c r="S68" s="134">
        <f>S15*(1+Dashboard_1!$H$58)^Model_1!S$54</f>
        <v>0</v>
      </c>
      <c r="T68" s="134">
        <f>T15*(1+Dashboard_1!$H$58)^Model_1!T$54</f>
        <v>0</v>
      </c>
      <c r="U68" s="134">
        <f>U15*(1+Dashboard_1!$H$58)^Model_1!U$54</f>
        <v>0</v>
      </c>
      <c r="V68" s="134">
        <f>V15*(1+Dashboard_1!$H$58)^Model_1!V$54</f>
        <v>0</v>
      </c>
      <c r="W68" s="134">
        <f>W15*(1+Dashboard_1!$H$58)^Model_1!W$54</f>
        <v>0</v>
      </c>
      <c r="X68" s="134">
        <f>X15*(1+Dashboard_1!$H$58)^Model_1!X$54</f>
        <v>0</v>
      </c>
      <c r="Y68" s="134">
        <f>Y15*(1+Dashboard_1!$H$58)^Model_1!Y$54</f>
        <v>0</v>
      </c>
      <c r="Z68" s="134">
        <f>Z15*(1+Dashboard_1!$H$58)^Model_1!Z$54</f>
        <v>0</v>
      </c>
      <c r="AA68" s="134">
        <f>AA15*(1+Dashboard_1!$H$58)^Model_1!AA$54</f>
        <v>0</v>
      </c>
      <c r="AB68" s="134">
        <f>AB15*(1+Dashboard_1!$H$58)^Model_1!AB$54</f>
        <v>0</v>
      </c>
      <c r="AC68" s="134">
        <f>AC15*(1+Dashboard_1!$H$58)^Model_1!AC$54</f>
        <v>0</v>
      </c>
      <c r="AD68" s="134">
        <f>AD15*(1+Dashboard_1!$H$58)^Model_1!AD$54</f>
        <v>0</v>
      </c>
      <c r="AE68" s="134">
        <f>AE15*(1+Dashboard_1!$H$58)^Model_1!AE$54</f>
        <v>0</v>
      </c>
      <c r="AF68" s="134">
        <f>AF15*(1+Dashboard_1!$H$58)^Model_1!AF$54</f>
        <v>0</v>
      </c>
      <c r="AG68" s="134">
        <f>AG15*(1+Dashboard_1!$H$58)^Model_1!AG$54</f>
        <v>0</v>
      </c>
      <c r="AH68" s="134">
        <f>AH15*(1+Dashboard_1!$H$58)^Model_1!AH$54</f>
        <v>0</v>
      </c>
      <c r="AI68" s="134">
        <f>AI15*(1+Dashboard_1!$H$58)^Model_1!AI$54</f>
        <v>0</v>
      </c>
      <c r="AJ68" s="134">
        <f>AJ15*(1+Dashboard_1!$H$58)^Model_1!AJ$54</f>
        <v>0</v>
      </c>
      <c r="AK68" s="134">
        <f>AK15*(1+Dashboard_1!$H$58)^Model_1!AK$54</f>
        <v>0</v>
      </c>
      <c r="AL68" s="134">
        <f>AL15*(1+Dashboard_1!$H$58)^Model_1!AL$54</f>
        <v>0</v>
      </c>
      <c r="AM68" s="134">
        <f>AM15*(1+Dashboard_1!$H$58)^Model_1!AM$54</f>
        <v>0</v>
      </c>
      <c r="AN68" s="134">
        <f>AN15*(1+Dashboard_1!$H$58)^Model_1!AN$54</f>
        <v>0</v>
      </c>
      <c r="AO68" s="134">
        <f>AO15*(1+Dashboard_1!$H$58)^Model_1!AO$54</f>
        <v>0</v>
      </c>
      <c r="AP68" s="134">
        <f>AP15*(1+Dashboard_1!$H$58)^Model_1!AP$54</f>
        <v>0</v>
      </c>
      <c r="AQ68" s="134">
        <f>AQ15*(1+Dashboard_1!$H$58)^Model_1!AQ$54</f>
        <v>0</v>
      </c>
      <c r="AR68" s="134">
        <f>AR15*(1+Dashboard_1!$H$58)^Model_1!AR$54</f>
        <v>0</v>
      </c>
      <c r="AS68" s="134">
        <f>AS15*(1+Dashboard_1!$H$58)^Model_1!AS$54</f>
        <v>0</v>
      </c>
      <c r="AT68" s="134">
        <f>AT15*(1+Dashboard_1!$H$58)^Model_1!AT$54</f>
        <v>0</v>
      </c>
      <c r="AU68" s="134">
        <f>AU15*(1+Dashboard_1!$H$58)^Model_1!AU$54</f>
        <v>0</v>
      </c>
      <c r="AV68" s="134">
        <f>AV15*(1+Dashboard_1!$H$58)^Model_1!AV$54</f>
        <v>0</v>
      </c>
      <c r="AW68" s="134">
        <f>AW15*(1+Dashboard_1!$H$58)^Model_1!AW$54</f>
        <v>0</v>
      </c>
      <c r="AX68" s="134">
        <f>AX15*(1+Dashboard_1!$H$58)^Model_1!AX$54</f>
        <v>0</v>
      </c>
      <c r="AY68" s="134">
        <f>AY15*(1+Dashboard_1!$H$58)^Model_1!AY$54</f>
        <v>0</v>
      </c>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row>
    <row r="69" spans="1:98" s="138" customFormat="1" x14ac:dyDescent="0.45">
      <c r="A69" s="41" t="s">
        <v>272</v>
      </c>
      <c r="B69" s="134">
        <f>SUM(B19:B20)*(1+Dashboard_1!$H$58)^Model_1!B$54</f>
        <v>4800</v>
      </c>
      <c r="C69" s="134">
        <f>SUM(C19:C20)*(1+Dashboard_1!$H$58)^Model_1!C$54</f>
        <v>1639.9999999999998</v>
      </c>
      <c r="D69" s="134">
        <f>SUM(D19:D20)*(1+Dashboard_1!$H$58)^Model_1!D$54</f>
        <v>1680.9999999999998</v>
      </c>
      <c r="E69" s="134">
        <f>SUM(E19:E20)*(1+Dashboard_1!$H$58)^Model_1!E$54</f>
        <v>1723.0249999999999</v>
      </c>
      <c r="F69" s="134">
        <f>SUM(F19:F20)*(1+Dashboard_1!$H$58)^Model_1!F$54</f>
        <v>1766.1006249999996</v>
      </c>
      <c r="G69" s="134">
        <f>SUM(G19:G20)*(1+Dashboard_1!$H$58)^Model_1!G$54</f>
        <v>1810.2531406249996</v>
      </c>
      <c r="H69" s="134">
        <f>SUM(H19:H20)*(1+Dashboard_1!$H$58)^Model_1!H$54</f>
        <v>1855.5094691406243</v>
      </c>
      <c r="I69" s="134">
        <f>SUM(I19:I20)*(1+Dashboard_1!$H$58)^Model_1!I$54</f>
        <v>1901.89720586914</v>
      </c>
      <c r="J69" s="134">
        <f>SUM(J19:J20)*(1+Dashboard_1!$H$58)^Model_1!J$54</f>
        <v>1949.4446360158684</v>
      </c>
      <c r="K69" s="134">
        <f>SUM(K19:K20)*(1+Dashboard_1!$H$58)^Model_1!K$54</f>
        <v>1998.1807519162646</v>
      </c>
      <c r="L69" s="134">
        <f>SUM(L19:L20)*(1+Dashboard_1!$H$58)^Model_1!L$54</f>
        <v>2048.1352707141714</v>
      </c>
      <c r="M69" s="134">
        <f>SUM(M19:M20)*(1+Dashboard_1!$H$58)^Model_1!M$54</f>
        <v>2099.3386524820257</v>
      </c>
      <c r="N69" s="134">
        <f>SUM(N19:N20)*(1+Dashboard_1!$H$58)^Model_1!N$54</f>
        <v>2151.8221187940762</v>
      </c>
      <c r="O69" s="134">
        <f>SUM(O19:O20)*(1+Dashboard_1!$H$58)^Model_1!O$54</f>
        <v>2205.6176717639278</v>
      </c>
      <c r="P69" s="134">
        <f>SUM(P19:P20)*(1+Dashboard_1!$H$58)^Model_1!P$54</f>
        <v>2260.7581135580258</v>
      </c>
      <c r="Q69" s="134">
        <f>SUM(Q19:Q20)*(1+Dashboard_1!$H$58)^Model_1!Q$54</f>
        <v>2317.2770663969768</v>
      </c>
      <c r="R69" s="134">
        <f>SUM(R19:R20)*(1+Dashboard_1!$H$58)^Model_1!R$54</f>
        <v>2375.2089930569009</v>
      </c>
      <c r="S69" s="134">
        <f>SUM(S19:S20)*(1+Dashboard_1!$H$58)^Model_1!S$54</f>
        <v>2434.5892178833233</v>
      </c>
      <c r="T69" s="134">
        <f>SUM(T19:T20)*(1+Dashboard_1!$H$58)^Model_1!T$54</f>
        <v>2495.4539483304065</v>
      </c>
      <c r="U69" s="134">
        <f>SUM(U19:U20)*(1+Dashboard_1!$H$58)^Model_1!U$54</f>
        <v>2557.8402970386664</v>
      </c>
      <c r="V69" s="134">
        <f>SUM(V19:V20)*(1+Dashboard_1!$H$58)^Model_1!V$54</f>
        <v>2621.7863044646328</v>
      </c>
      <c r="W69" s="134">
        <f>SUM(W19:W20)*(1+Dashboard_1!$H$58)^Model_1!W$54</f>
        <v>2687.3309620762484</v>
      </c>
      <c r="X69" s="134">
        <f>SUM(X19:X20)*(1+Dashboard_1!$H$58)^Model_1!X$54</f>
        <v>2754.5142361281546</v>
      </c>
      <c r="Y69" s="134">
        <f>SUM(Y19:Y20)*(1+Dashboard_1!$H$58)^Model_1!Y$54</f>
        <v>2823.3770920313586</v>
      </c>
      <c r="Z69" s="134">
        <f>SUM(Z19:Z20)*(1+Dashboard_1!$H$58)^Model_1!Z$54</f>
        <v>2893.9615193321424</v>
      </c>
      <c r="AA69" s="134">
        <f>SUM(AA19:AA20)*(1+Dashboard_1!$H$58)^Model_1!AA$54</f>
        <v>2966.3105573154453</v>
      </c>
      <c r="AB69" s="134">
        <f>SUM(AB19:AB20)*(1+Dashboard_1!$H$58)^Model_1!AB$54</f>
        <v>3040.4683212483314</v>
      </c>
      <c r="AC69" s="134">
        <f>SUM(AC19:AC20)*(1+Dashboard_1!$H$58)^Model_1!AC$54</f>
        <v>3116.4800292795394</v>
      </c>
      <c r="AD69" s="134">
        <f>SUM(AD19:AD20)*(1+Dashboard_1!$H$58)^Model_1!AD$54</f>
        <v>3194.3920300115278</v>
      </c>
      <c r="AE69" s="134">
        <f>SUM(AE19:AE20)*(1+Dashboard_1!$H$58)^Model_1!AE$54</f>
        <v>3274.2518307618161</v>
      </c>
      <c r="AF69" s="134">
        <f>SUM(AF19:AF20)*(1+Dashboard_1!$H$58)^Model_1!AF$54</f>
        <v>3356.1081265308608</v>
      </c>
      <c r="AG69" s="134">
        <f>SUM(AG19:AG20)*(1+Dashboard_1!$H$58)^Model_1!AG$54</f>
        <v>3440.0108296941335</v>
      </c>
      <c r="AH69" s="134">
        <f>SUM(AH19:AH20)*(1+Dashboard_1!$H$58)^Model_1!AH$54</f>
        <v>3526.0111004364858</v>
      </c>
      <c r="AI69" s="134">
        <f>SUM(AI19:AI20)*(1+Dashboard_1!$H$58)^Model_1!AI$54</f>
        <v>3614.1613779473978</v>
      </c>
      <c r="AJ69" s="134">
        <f>SUM(AJ19:AJ20)*(1+Dashboard_1!$H$58)^Model_1!AJ$54</f>
        <v>3704.5154123960829</v>
      </c>
      <c r="AK69" s="134">
        <f>SUM(AK19:AK20)*(1+Dashboard_1!$H$58)^Model_1!AK$54</f>
        <v>3797.1282977059846</v>
      </c>
      <c r="AL69" s="134">
        <f>SUM(AL19:AL20)*(1+Dashboard_1!$H$58)^Model_1!AL$54</f>
        <v>3892.0565051486342</v>
      </c>
      <c r="AM69" s="134">
        <f>SUM(AM19:AM20)*(1+Dashboard_1!$H$58)^Model_1!AM$54</f>
        <v>3989.3579177773495</v>
      </c>
      <c r="AN69" s="134">
        <f>SUM(AN19:AN20)*(1+Dashboard_1!$H$58)^Model_1!AN$54</f>
        <v>4089.0918657217826</v>
      </c>
      <c r="AO69" s="134">
        <f>SUM(AO19:AO20)*(1+Dashboard_1!$H$58)^Model_1!AO$54</f>
        <v>4191.3191623648272</v>
      </c>
      <c r="AP69" s="134">
        <f>SUM(AP19:AP20)*(1+Dashboard_1!$H$58)^Model_1!AP$54</f>
        <v>4296.1021414239476</v>
      </c>
      <c r="AQ69" s="134">
        <f>SUM(AQ19:AQ20)*(1+Dashboard_1!$H$58)^Model_1!AQ$54</f>
        <v>4403.5046949595462</v>
      </c>
      <c r="AR69" s="134">
        <f>SUM(AR19:AR20)*(1+Dashboard_1!$H$58)^Model_1!AR$54</f>
        <v>4513.5923123335342</v>
      </c>
      <c r="AS69" s="134">
        <f>SUM(AS19:AS20)*(1+Dashboard_1!$H$58)^Model_1!AS$54</f>
        <v>4626.4321201418734</v>
      </c>
      <c r="AT69" s="134">
        <f>SUM(AT19:AT20)*(1+Dashboard_1!$H$58)^Model_1!AT$54</f>
        <v>4742.0929231454193</v>
      </c>
      <c r="AU69" s="134">
        <f>SUM(AU19:AU20)*(1+Dashboard_1!$H$58)^Model_1!AU$54</f>
        <v>4860.645246224055</v>
      </c>
      <c r="AV69" s="134">
        <f>SUM(AV19:AV20)*(1+Dashboard_1!$H$58)^Model_1!AV$54</f>
        <v>4982.1613773796553</v>
      </c>
      <c r="AW69" s="134">
        <f>SUM(AW19:AW20)*(1+Dashboard_1!$H$58)^Model_1!AW$54</f>
        <v>5106.715411814147</v>
      </c>
      <c r="AX69" s="134">
        <f>SUM(AX19:AX20)*(1+Dashboard_1!$H$58)^Model_1!AX$54</f>
        <v>5234.3832971095007</v>
      </c>
      <c r="AY69" s="134">
        <f>SUM(AY19:AY20)*(1+Dashboard_1!$H$58)^Model_1!AY$54</f>
        <v>5365.2428795372371</v>
      </c>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row>
    <row r="70" spans="1:98" s="138" customFormat="1" x14ac:dyDescent="0.45">
      <c r="A70" s="41" t="s">
        <v>87</v>
      </c>
      <c r="B70" s="134">
        <f>SUM(B21:B23)*(1+Dashboard_1!$H$58)^Model_1!B$54</f>
        <v>23642.666666666668</v>
      </c>
      <c r="C70" s="134">
        <f>SUM(C21:C23)*(1+Dashboard_1!$H$58)^Model_1!C$54</f>
        <v>6396</v>
      </c>
      <c r="D70" s="134">
        <f>SUM(D21:D23)*(1+Dashboard_1!$H$58)^Model_1!D$54</f>
        <v>4916.9249999999993</v>
      </c>
      <c r="E70" s="134">
        <f>SUM(E21:E23)*(1+Dashboard_1!$H$58)^Model_1!E$54</f>
        <v>5039.8481249999995</v>
      </c>
      <c r="F70" s="134">
        <f>SUM(F21:F23)*(1+Dashboard_1!$H$58)^Model_1!F$54</f>
        <v>5165.8443281249993</v>
      </c>
      <c r="G70" s="134">
        <f>SUM(G21:G23)*(1+Dashboard_1!$H$58)^Model_1!G$54</f>
        <v>5294.990436328123</v>
      </c>
      <c r="H70" s="134">
        <f>SUM(H21:H23)*(1+Dashboard_1!$H$58)^Model_1!H$54</f>
        <v>5427.3651972363259</v>
      </c>
      <c r="I70" s="134">
        <f>SUM(I21:I23)*(1+Dashboard_1!$H$58)^Model_1!I$54</f>
        <v>5563.0493271672349</v>
      </c>
      <c r="J70" s="134">
        <f>SUM(J21:J23)*(1+Dashboard_1!$H$58)^Model_1!J$54</f>
        <v>5702.1255603464151</v>
      </c>
      <c r="K70" s="134">
        <f>SUM(K21:K23)*(1+Dashboard_1!$H$58)^Model_1!K$54</f>
        <v>5844.6786993550741</v>
      </c>
      <c r="L70" s="134">
        <f>SUM(L21:L23)*(1+Dashboard_1!$H$58)^Model_1!L$54</f>
        <v>5990.7956668389515</v>
      </c>
      <c r="M70" s="134">
        <f>SUM(M21:M23)*(1+Dashboard_1!$H$58)^Model_1!M$54</f>
        <v>6140.5655585099248</v>
      </c>
      <c r="N70" s="134">
        <f>SUM(N21:N23)*(1+Dashboard_1!$H$58)^Model_1!N$54</f>
        <v>6294.0796974726727</v>
      </c>
      <c r="O70" s="134">
        <f>SUM(O21:O23)*(1+Dashboard_1!$H$58)^Model_1!O$54</f>
        <v>6451.4316899094893</v>
      </c>
      <c r="P70" s="134">
        <f>SUM(P21:P23)*(1+Dashboard_1!$H$58)^Model_1!P$54</f>
        <v>6612.7174821572253</v>
      </c>
      <c r="Q70" s="134">
        <f>SUM(Q21:Q23)*(1+Dashboard_1!$H$58)^Model_1!Q$54</f>
        <v>6778.0354192111572</v>
      </c>
      <c r="R70" s="134">
        <f>SUM(R21:R23)*(1+Dashboard_1!$H$58)^Model_1!R$54</f>
        <v>6947.4863046914352</v>
      </c>
      <c r="S70" s="134">
        <f>SUM(S21:S23)*(1+Dashboard_1!$H$58)^Model_1!S$54</f>
        <v>7121.1734623087204</v>
      </c>
      <c r="T70" s="134">
        <f>SUM(T21:T23)*(1+Dashboard_1!$H$58)^Model_1!T$54</f>
        <v>7299.2027988664386</v>
      </c>
      <c r="U70" s="134">
        <f>SUM(U21:U23)*(1+Dashboard_1!$H$58)^Model_1!U$54</f>
        <v>7481.6828688381001</v>
      </c>
      <c r="V70" s="134">
        <f>SUM(V21:V23)*(1+Dashboard_1!$H$58)^Model_1!V$54</f>
        <v>7668.724940559051</v>
      </c>
      <c r="W70" s="134">
        <f>SUM(W21:W23)*(1+Dashboard_1!$H$58)^Model_1!W$54</f>
        <v>7860.4430640730261</v>
      </c>
      <c r="X70" s="134">
        <f>SUM(X21:X23)*(1+Dashboard_1!$H$58)^Model_1!X$54</f>
        <v>8056.9541406748522</v>
      </c>
      <c r="Y70" s="134">
        <f>SUM(Y21:Y23)*(1+Dashboard_1!$H$58)^Model_1!Y$54</f>
        <v>8258.3779941917237</v>
      </c>
      <c r="Z70" s="134">
        <f>SUM(Z21:Z23)*(1+Dashboard_1!$H$58)^Model_1!Z$54</f>
        <v>8464.8374440465159</v>
      </c>
      <c r="AA70" s="134">
        <f>SUM(AA21:AA23)*(1+Dashboard_1!$H$58)^Model_1!AA$54</f>
        <v>8676.4583801476783</v>
      </c>
      <c r="AB70" s="134">
        <f>SUM(AB21:AB23)*(1+Dashboard_1!$H$58)^Model_1!AB$54</f>
        <v>8893.3698396513682</v>
      </c>
      <c r="AC70" s="134">
        <f>SUM(AC21:AC23)*(1+Dashboard_1!$H$58)^Model_1!AC$54</f>
        <v>9115.7040856426538</v>
      </c>
      <c r="AD70" s="134">
        <f>SUM(AD21:AD23)*(1+Dashboard_1!$H$58)^Model_1!AD$54</f>
        <v>9343.5966877837182</v>
      </c>
      <c r="AE70" s="134">
        <f>SUM(AE21:AE23)*(1+Dashboard_1!$H$58)^Model_1!AE$54</f>
        <v>9577.186604978313</v>
      </c>
      <c r="AF70" s="134">
        <f>SUM(AF21:AF23)*(1+Dashboard_1!$H$58)^Model_1!AF$54</f>
        <v>9816.6162701027679</v>
      </c>
      <c r="AG70" s="134">
        <f>SUM(AG21:AG23)*(1+Dashboard_1!$H$58)^Model_1!AG$54</f>
        <v>10062.03167685534</v>
      </c>
      <c r="AH70" s="134">
        <f>SUM(AH21:AH23)*(1+Dashboard_1!$H$58)^Model_1!AH$54</f>
        <v>10313.582468776722</v>
      </c>
      <c r="AI70" s="134">
        <f>SUM(AI21:AI23)*(1+Dashboard_1!$H$58)^Model_1!AI$54</f>
        <v>10571.422030496138</v>
      </c>
      <c r="AJ70" s="134">
        <f>SUM(AJ21:AJ23)*(1+Dashboard_1!$H$58)^Model_1!AJ$54</f>
        <v>10835.707581258543</v>
      </c>
      <c r="AK70" s="134">
        <f>SUM(AK21:AK23)*(1+Dashboard_1!$H$58)^Model_1!AK$54</f>
        <v>11106.600270790004</v>
      </c>
      <c r="AL70" s="134">
        <f>SUM(AL21:AL23)*(1+Dashboard_1!$H$58)^Model_1!AL$54</f>
        <v>11384.265277559754</v>
      </c>
      <c r="AM70" s="134">
        <f>SUM(AM21:AM23)*(1+Dashboard_1!$H$58)^Model_1!AM$54</f>
        <v>11668.871909498748</v>
      </c>
      <c r="AN70" s="134">
        <f>SUM(AN21:AN23)*(1+Dashboard_1!$H$58)^Model_1!AN$54</f>
        <v>11960.593707236214</v>
      </c>
      <c r="AO70" s="134">
        <f>SUM(AO21:AO23)*(1+Dashboard_1!$H$58)^Model_1!AO$54</f>
        <v>12259.60854991712</v>
      </c>
      <c r="AP70" s="134">
        <f>SUM(AP21:AP23)*(1+Dashboard_1!$H$58)^Model_1!AP$54</f>
        <v>12566.098763665046</v>
      </c>
      <c r="AQ70" s="134">
        <f>SUM(AQ21:AQ23)*(1+Dashboard_1!$H$58)^Model_1!AQ$54</f>
        <v>12880.251232756673</v>
      </c>
      <c r="AR70" s="134">
        <f>SUM(AR21:AR23)*(1+Dashboard_1!$H$58)^Model_1!AR$54</f>
        <v>13202.257513575589</v>
      </c>
      <c r="AS70" s="134">
        <f>SUM(AS21:AS23)*(1+Dashboard_1!$H$58)^Model_1!AS$54</f>
        <v>13532.313951414979</v>
      </c>
      <c r="AT70" s="134">
        <f>SUM(AT21:AT23)*(1+Dashboard_1!$H$58)^Model_1!AT$54</f>
        <v>13870.62180020035</v>
      </c>
      <c r="AU70" s="134">
        <f>SUM(AU21:AU23)*(1+Dashboard_1!$H$58)^Model_1!AU$54</f>
        <v>14217.387345205359</v>
      </c>
      <c r="AV70" s="134">
        <f>SUM(AV21:AV23)*(1+Dashboard_1!$H$58)^Model_1!AV$54</f>
        <v>14572.822028835491</v>
      </c>
      <c r="AW70" s="134">
        <f>SUM(AW21:AW23)*(1+Dashboard_1!$H$58)^Model_1!AW$54</f>
        <v>14937.142579556381</v>
      </c>
      <c r="AX70" s="134">
        <f>SUM(AX21:AX23)*(1+Dashboard_1!$H$58)^Model_1!AX$54</f>
        <v>15310.571144045289</v>
      </c>
      <c r="AY70" s="134">
        <f>SUM(AY21:AY23)*(1+Dashboard_1!$H$58)^Model_1!AY$54</f>
        <v>15693.33542264642</v>
      </c>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row>
    <row r="71" spans="1:98" s="138" customFormat="1" x14ac:dyDescent="0.45">
      <c r="A71" s="41" t="str">
        <f>A24</f>
        <v>Arborist tree health inspection ($)</v>
      </c>
      <c r="B71" s="145">
        <f>SUM(B24)*(1+Dashboard_1!$H$58)^Model_1!B$54</f>
        <v>500</v>
      </c>
      <c r="C71" s="145">
        <f>SUM(C24)*(1+Dashboard_1!$H$58)^Model_1!C$54</f>
        <v>512.5</v>
      </c>
      <c r="D71" s="145">
        <f>SUM(D24)*(1+Dashboard_1!$H$58)^Model_1!D$54</f>
        <v>525.3125</v>
      </c>
      <c r="E71" s="145">
        <f>SUM(E24)*(1+Dashboard_1!$H$58)^Model_1!E$54</f>
        <v>538.44531249999989</v>
      </c>
      <c r="F71" s="145">
        <f>SUM(F24)*(1+Dashboard_1!$H$58)^Model_1!F$54</f>
        <v>551.90644531249984</v>
      </c>
      <c r="G71" s="145">
        <f>SUM(G24)*(1+Dashboard_1!$H$58)^Model_1!G$54</f>
        <v>565.70410644531228</v>
      </c>
      <c r="H71" s="145">
        <f>SUM(H24)*(1+Dashboard_1!$H$58)^Model_1!H$54</f>
        <v>579.84670910644513</v>
      </c>
      <c r="I71" s="145">
        <f>SUM(I24)*(1+Dashboard_1!$H$58)^Model_1!I$54</f>
        <v>594.34287683410628</v>
      </c>
      <c r="J71" s="145">
        <f>SUM(J24)*(1+Dashboard_1!$H$58)^Model_1!J$54</f>
        <v>609.20144875495885</v>
      </c>
      <c r="K71" s="145">
        <f>SUM(K24)*(1+Dashboard_1!$H$58)^Model_1!K$54</f>
        <v>624.43148497383277</v>
      </c>
      <c r="L71" s="145">
        <f>SUM(L24)*(1+Dashboard_1!$H$58)^Model_1!L$54</f>
        <v>640.0422720981785</v>
      </c>
      <c r="M71" s="145">
        <f>SUM(M24)*(1+Dashboard_1!$H$58)^Model_1!M$54</f>
        <v>656.04332890063301</v>
      </c>
      <c r="N71" s="145">
        <f>SUM(N24)*(1+Dashboard_1!$H$58)^Model_1!N$54</f>
        <v>672.44441212314871</v>
      </c>
      <c r="O71" s="145">
        <f>SUM(O24)*(1+Dashboard_1!$H$58)^Model_1!O$54</f>
        <v>689.25552242622746</v>
      </c>
      <c r="P71" s="145">
        <f>SUM(P24)*(1+Dashboard_1!$H$58)^Model_1!P$54</f>
        <v>706.48691048688306</v>
      </c>
      <c r="Q71" s="145">
        <f>SUM(Q24)*(1+Dashboard_1!$H$58)^Model_1!Q$54</f>
        <v>724.14908324905525</v>
      </c>
      <c r="R71" s="145">
        <f>SUM(R24)*(1+Dashboard_1!$H$58)^Model_1!R$54</f>
        <v>742.25281033028159</v>
      </c>
      <c r="S71" s="145">
        <f>SUM(S24)*(1+Dashboard_1!$H$58)^Model_1!S$54</f>
        <v>760.80913058853855</v>
      </c>
      <c r="T71" s="145">
        <f>SUM(T24)*(1+Dashboard_1!$H$58)^Model_1!T$54</f>
        <v>779.82935885325196</v>
      </c>
      <c r="U71" s="145">
        <f>SUM(U24)*(1+Dashboard_1!$H$58)^Model_1!U$54</f>
        <v>799.32509282458329</v>
      </c>
      <c r="V71" s="145">
        <f>SUM(V24)*(1+Dashboard_1!$H$58)^Model_1!V$54</f>
        <v>819.30822014519777</v>
      </c>
      <c r="W71" s="145">
        <f>SUM(W24)*(1+Dashboard_1!$H$58)^Model_1!W$54</f>
        <v>839.79092564882762</v>
      </c>
      <c r="X71" s="145">
        <f>SUM(X24)*(1+Dashboard_1!$H$58)^Model_1!X$54</f>
        <v>860.78569879004829</v>
      </c>
      <c r="Y71" s="145">
        <f>SUM(Y24)*(1+Dashboard_1!$H$58)^Model_1!Y$54</f>
        <v>882.30534125979955</v>
      </c>
      <c r="Z71" s="145">
        <f>SUM(Z24)*(1+Dashboard_1!$H$58)^Model_1!Z$54</f>
        <v>904.3629747912945</v>
      </c>
      <c r="AA71" s="145">
        <f>SUM(AA24)*(1+Dashboard_1!$H$58)^Model_1!AA$54</f>
        <v>926.97204916107671</v>
      </c>
      <c r="AB71" s="145">
        <f>SUM(AB24)*(1+Dashboard_1!$H$58)^Model_1!AB$54</f>
        <v>950.14635039010352</v>
      </c>
      <c r="AC71" s="145">
        <f>SUM(AC24)*(1+Dashboard_1!$H$58)^Model_1!AC$54</f>
        <v>973.90000914985603</v>
      </c>
      <c r="AD71" s="145">
        <f>SUM(AD24)*(1+Dashboard_1!$H$58)^Model_1!AD$54</f>
        <v>998.24750937860244</v>
      </c>
      <c r="AE71" s="145">
        <f>SUM(AE24)*(1+Dashboard_1!$H$58)^Model_1!AE$54</f>
        <v>1023.2036971130676</v>
      </c>
      <c r="AF71" s="145">
        <f>SUM(AF24)*(1+Dashboard_1!$H$58)^Model_1!AF$54</f>
        <v>1048.7837895408941</v>
      </c>
      <c r="AG71" s="145">
        <f>SUM(AG24)*(1+Dashboard_1!$H$58)^Model_1!AG$54</f>
        <v>1075.0033842794167</v>
      </c>
      <c r="AH71" s="145">
        <f>SUM(AH24)*(1+Dashboard_1!$H$58)^Model_1!AH$54</f>
        <v>1101.8784688864018</v>
      </c>
      <c r="AI71" s="145">
        <f>SUM(AI24)*(1+Dashboard_1!$H$58)^Model_1!AI$54</f>
        <v>1129.4254306085618</v>
      </c>
      <c r="AJ71" s="145">
        <f>SUM(AJ24)*(1+Dashboard_1!$H$58)^Model_1!AJ$54</f>
        <v>1157.6610663737758</v>
      </c>
      <c r="AK71" s="145">
        <f>SUM(AK24)*(1+Dashboard_1!$H$58)^Model_1!AK$54</f>
        <v>1186.60259303312</v>
      </c>
      <c r="AL71" s="145">
        <f>SUM(AL24)*(1+Dashboard_1!$H$58)^Model_1!AL$54</f>
        <v>1216.2676578589483</v>
      </c>
      <c r="AM71" s="145">
        <f>SUM(AM24)*(1+Dashboard_1!$H$58)^Model_1!AM$54</f>
        <v>1246.6743493054219</v>
      </c>
      <c r="AN71" s="145">
        <f>SUM(AN24)*(1+Dashboard_1!$H$58)^Model_1!AN$54</f>
        <v>1277.8412080380569</v>
      </c>
      <c r="AO71" s="145">
        <f>SUM(AO24)*(1+Dashboard_1!$H$58)^Model_1!AO$54</f>
        <v>1309.7872382390085</v>
      </c>
      <c r="AP71" s="145">
        <f>SUM(AP24)*(1+Dashboard_1!$H$58)^Model_1!AP$54</f>
        <v>1342.5319191949836</v>
      </c>
      <c r="AQ71" s="145">
        <f>SUM(AQ24)*(1+Dashboard_1!$H$58)^Model_1!AQ$54</f>
        <v>1376.0952171748581</v>
      </c>
      <c r="AR71" s="145">
        <f>SUM(AR24)*(1+Dashboard_1!$H$58)^Model_1!AR$54</f>
        <v>1410.4975976042294</v>
      </c>
      <c r="AS71" s="145">
        <f>SUM(AS24)*(1+Dashboard_1!$H$58)^Model_1!AS$54</f>
        <v>1445.7600375443353</v>
      </c>
      <c r="AT71" s="145">
        <f>SUM(AT24)*(1+Dashboard_1!$H$58)^Model_1!AT$54</f>
        <v>1481.9040384829434</v>
      </c>
      <c r="AU71" s="145">
        <f>SUM(AU24)*(1+Dashboard_1!$H$58)^Model_1!AU$54</f>
        <v>1518.951639445017</v>
      </c>
      <c r="AV71" s="145">
        <f>SUM(AV24)*(1+Dashboard_1!$H$58)^Model_1!AV$54</f>
        <v>1556.9254304311421</v>
      </c>
      <c r="AW71" s="145">
        <f>SUM(AW24)*(1+Dashboard_1!$H$58)^Model_1!AW$54</f>
        <v>1595.848566191921</v>
      </c>
      <c r="AX71" s="145">
        <f>SUM(AX24)*(1+Dashboard_1!$H$58)^Model_1!AX$54</f>
        <v>1635.7447803467189</v>
      </c>
      <c r="AY71" s="145">
        <f>SUM(AY24)*(1+Dashboard_1!$H$58)^Model_1!AY$54</f>
        <v>1676.6383998553868</v>
      </c>
      <c r="AZ71" s="228"/>
      <c r="BA71" s="228"/>
      <c r="BB71" s="228"/>
      <c r="BC71" s="228"/>
      <c r="BD71" s="228"/>
      <c r="BE71" s="228"/>
      <c r="BF71" s="228"/>
      <c r="BG71" s="228"/>
      <c r="BH71" s="228"/>
      <c r="BI71" s="228"/>
      <c r="BJ71" s="228"/>
      <c r="BK71" s="228"/>
      <c r="BL71" s="228"/>
      <c r="BM71" s="228"/>
      <c r="BN71" s="228"/>
      <c r="BO71" s="228"/>
      <c r="BP71" s="228"/>
      <c r="BQ71" s="228"/>
      <c r="BR71" s="228"/>
      <c r="BS71" s="228"/>
      <c r="BT71" s="228"/>
      <c r="BU71" s="228"/>
      <c r="BV71" s="228"/>
      <c r="BW71" s="228"/>
      <c r="BX71" s="228"/>
      <c r="BY71" s="228"/>
      <c r="BZ71" s="228"/>
      <c r="CA71" s="228"/>
      <c r="CB71" s="228"/>
      <c r="CC71" s="228"/>
      <c r="CD71" s="228"/>
      <c r="CE71" s="228"/>
      <c r="CF71" s="228"/>
      <c r="CG71" s="228"/>
      <c r="CH71" s="228"/>
      <c r="CI71" s="228"/>
      <c r="CJ71" s="228"/>
      <c r="CK71" s="228"/>
      <c r="CL71" s="228"/>
      <c r="CM71" s="228"/>
      <c r="CN71" s="228"/>
      <c r="CO71" s="228"/>
      <c r="CP71" s="228"/>
      <c r="CQ71" s="228"/>
      <c r="CR71" s="228"/>
      <c r="CS71" s="228"/>
      <c r="CT71" s="228"/>
    </row>
    <row r="72" spans="1:98" s="138" customFormat="1" x14ac:dyDescent="0.45">
      <c r="A72" s="41" t="str">
        <f>A25</f>
        <v>Visual tree inspection ($)</v>
      </c>
      <c r="B72" s="145">
        <f>SUM(B25)*(1+Dashboard_1!$H$58)^Model_1!B$54</f>
        <v>300</v>
      </c>
      <c r="C72" s="145">
        <f>SUM(C25)*(1+Dashboard_1!$H$58)^Model_1!C$54</f>
        <v>307.5</v>
      </c>
      <c r="D72" s="145">
        <f>SUM(D25)*(1+Dashboard_1!$H$58)^Model_1!D$54</f>
        <v>315.1875</v>
      </c>
      <c r="E72" s="145">
        <f>SUM(E25)*(1+Dashboard_1!$H$58)^Model_1!E$54</f>
        <v>323.06718749999999</v>
      </c>
      <c r="F72" s="145">
        <f>SUM(F25)*(1+Dashboard_1!$H$58)^Model_1!F$54</f>
        <v>331.14386718749995</v>
      </c>
      <c r="G72" s="145">
        <f>SUM(G25)*(1+Dashboard_1!$H$58)^Model_1!G$54</f>
        <v>339.42246386718739</v>
      </c>
      <c r="H72" s="145">
        <f>SUM(H25)*(1+Dashboard_1!$H$58)^Model_1!H$54</f>
        <v>347.90802546386703</v>
      </c>
      <c r="I72" s="145">
        <f>SUM(I25)*(1+Dashboard_1!$H$58)^Model_1!I$54</f>
        <v>356.60572610046376</v>
      </c>
      <c r="J72" s="145">
        <f>SUM(J25)*(1+Dashboard_1!$H$58)^Model_1!J$54</f>
        <v>365.52086925297533</v>
      </c>
      <c r="K72" s="145">
        <f>SUM(K25)*(1+Dashboard_1!$H$58)^Model_1!K$54</f>
        <v>374.6588909842996</v>
      </c>
      <c r="L72" s="145">
        <f>SUM(L25)*(1+Dashboard_1!$H$58)^Model_1!L$54</f>
        <v>384.02536325890713</v>
      </c>
      <c r="M72" s="145">
        <f>SUM(M25)*(1+Dashboard_1!$H$58)^Model_1!M$54</f>
        <v>393.6259973403798</v>
      </c>
      <c r="N72" s="145">
        <f>SUM(N25)*(1+Dashboard_1!$H$58)^Model_1!N$54</f>
        <v>403.46664727388924</v>
      </c>
      <c r="O72" s="145">
        <f>SUM(O25)*(1+Dashboard_1!$H$58)^Model_1!O$54</f>
        <v>413.55331345573649</v>
      </c>
      <c r="P72" s="145">
        <f>SUM(P25)*(1+Dashboard_1!$H$58)^Model_1!P$54</f>
        <v>423.89214629212984</v>
      </c>
      <c r="Q72" s="145">
        <f>SUM(Q25)*(1+Dashboard_1!$H$58)^Model_1!Q$54</f>
        <v>434.48944994943315</v>
      </c>
      <c r="R72" s="145">
        <f>SUM(R25)*(1+Dashboard_1!$H$58)^Model_1!R$54</f>
        <v>445.35168619816892</v>
      </c>
      <c r="S72" s="145">
        <f>SUM(S25)*(1+Dashboard_1!$H$58)^Model_1!S$54</f>
        <v>456.48547835312309</v>
      </c>
      <c r="T72" s="145">
        <f>SUM(T25)*(1+Dashboard_1!$H$58)^Model_1!T$54</f>
        <v>467.8976153119512</v>
      </c>
      <c r="U72" s="145">
        <f>SUM(U25)*(1+Dashboard_1!$H$58)^Model_1!U$54</f>
        <v>479.59505569474999</v>
      </c>
      <c r="V72" s="145">
        <f>SUM(V25)*(1+Dashboard_1!$H$58)^Model_1!V$54</f>
        <v>491.58493208711866</v>
      </c>
      <c r="W72" s="145">
        <f>SUM(W25)*(1+Dashboard_1!$H$58)^Model_1!W$54</f>
        <v>503.87455538929657</v>
      </c>
      <c r="X72" s="145">
        <f>SUM(X25)*(1+Dashboard_1!$H$58)^Model_1!X$54</f>
        <v>516.47141927402902</v>
      </c>
      <c r="Y72" s="145">
        <f>SUM(Y25)*(1+Dashboard_1!$H$58)^Model_1!Y$54</f>
        <v>529.38320475587977</v>
      </c>
      <c r="Z72" s="145">
        <f>SUM(Z25)*(1+Dashboard_1!$H$58)^Model_1!Z$54</f>
        <v>542.6177848747767</v>
      </c>
      <c r="AA72" s="145">
        <f>SUM(AA25)*(1+Dashboard_1!$H$58)^Model_1!AA$54</f>
        <v>556.18322949664605</v>
      </c>
      <c r="AB72" s="145">
        <f>SUM(AB25)*(1+Dashboard_1!$H$58)^Model_1!AB$54</f>
        <v>570.08781023406209</v>
      </c>
      <c r="AC72" s="145">
        <f>SUM(AC25)*(1+Dashboard_1!$H$58)^Model_1!AC$54</f>
        <v>584.34000548991366</v>
      </c>
      <c r="AD72" s="145">
        <f>SUM(AD25)*(1+Dashboard_1!$H$58)^Model_1!AD$54</f>
        <v>598.94850562716147</v>
      </c>
      <c r="AE72" s="145">
        <f>SUM(AE25)*(1+Dashboard_1!$H$58)^Model_1!AE$54</f>
        <v>613.92221826784055</v>
      </c>
      <c r="AF72" s="145">
        <f>SUM(AF25)*(1+Dashboard_1!$H$58)^Model_1!AF$54</f>
        <v>629.27027372453642</v>
      </c>
      <c r="AG72" s="145">
        <f>SUM(AG25)*(1+Dashboard_1!$H$58)^Model_1!AG$54</f>
        <v>645.00203056764997</v>
      </c>
      <c r="AH72" s="145">
        <f>SUM(AH25)*(1+Dashboard_1!$H$58)^Model_1!AH$54</f>
        <v>661.12708133184105</v>
      </c>
      <c r="AI72" s="145">
        <f>SUM(AI25)*(1+Dashboard_1!$H$58)^Model_1!AI$54</f>
        <v>677.65525836513712</v>
      </c>
      <c r="AJ72" s="145">
        <f>SUM(AJ25)*(1+Dashboard_1!$H$58)^Model_1!AJ$54</f>
        <v>694.59663982426548</v>
      </c>
      <c r="AK72" s="145">
        <f>SUM(AK25)*(1+Dashboard_1!$H$58)^Model_1!AK$54</f>
        <v>711.96155581987205</v>
      </c>
      <c r="AL72" s="145">
        <f>SUM(AL25)*(1+Dashboard_1!$H$58)^Model_1!AL$54</f>
        <v>729.76059471536894</v>
      </c>
      <c r="AM72" s="145">
        <f>SUM(AM25)*(1+Dashboard_1!$H$58)^Model_1!AM$54</f>
        <v>748.004609583253</v>
      </c>
      <c r="AN72" s="145">
        <f>SUM(AN25)*(1+Dashboard_1!$H$58)^Model_1!AN$54</f>
        <v>766.70472482283424</v>
      </c>
      <c r="AO72" s="145">
        <f>SUM(AO25)*(1+Dashboard_1!$H$58)^Model_1!AO$54</f>
        <v>785.8723429434051</v>
      </c>
      <c r="AP72" s="145">
        <f>SUM(AP25)*(1+Dashboard_1!$H$58)^Model_1!AP$54</f>
        <v>805.51915151699018</v>
      </c>
      <c r="AQ72" s="145">
        <f>SUM(AQ25)*(1+Dashboard_1!$H$58)^Model_1!AQ$54</f>
        <v>825.65713030491486</v>
      </c>
      <c r="AR72" s="145">
        <f>SUM(AR25)*(1+Dashboard_1!$H$58)^Model_1!AR$54</f>
        <v>846.29855856253778</v>
      </c>
      <c r="AS72" s="145">
        <f>SUM(AS25)*(1+Dashboard_1!$H$58)^Model_1!AS$54</f>
        <v>867.45602252660126</v>
      </c>
      <c r="AT72" s="145">
        <f>SUM(AT25)*(1+Dashboard_1!$H$58)^Model_1!AT$54</f>
        <v>889.142423089766</v>
      </c>
      <c r="AU72" s="145">
        <f>SUM(AU25)*(1+Dashboard_1!$H$58)^Model_1!AU$54</f>
        <v>911.37098366701025</v>
      </c>
      <c r="AV72" s="145">
        <f>SUM(AV25)*(1+Dashboard_1!$H$58)^Model_1!AV$54</f>
        <v>934.15525825868531</v>
      </c>
      <c r="AW72" s="145">
        <f>SUM(AW25)*(1+Dashboard_1!$H$58)^Model_1!AW$54</f>
        <v>957.50913971515263</v>
      </c>
      <c r="AX72" s="145">
        <f>SUM(AX25)*(1+Dashboard_1!$H$58)^Model_1!AX$54</f>
        <v>981.44686820803133</v>
      </c>
      <c r="AY72" s="145">
        <f>SUM(AY25)*(1+Dashboard_1!$H$58)^Model_1!AY$54</f>
        <v>1005.983039913232</v>
      </c>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28"/>
      <c r="BV72" s="228"/>
      <c r="BW72" s="228"/>
      <c r="BX72" s="228"/>
      <c r="BY72" s="228"/>
      <c r="BZ72" s="228"/>
      <c r="CA72" s="228"/>
      <c r="CB72" s="228"/>
      <c r="CC72" s="228"/>
      <c r="CD72" s="228"/>
      <c r="CE72" s="228"/>
      <c r="CF72" s="228"/>
      <c r="CG72" s="228"/>
      <c r="CH72" s="228"/>
      <c r="CI72" s="228"/>
      <c r="CJ72" s="228"/>
      <c r="CK72" s="228"/>
      <c r="CL72" s="228"/>
      <c r="CM72" s="228"/>
      <c r="CN72" s="228"/>
      <c r="CO72" s="228"/>
      <c r="CP72" s="228"/>
      <c r="CQ72" s="228"/>
      <c r="CR72" s="228"/>
      <c r="CS72" s="228"/>
      <c r="CT72" s="228"/>
    </row>
    <row r="73" spans="1:98" s="138" customFormat="1" x14ac:dyDescent="0.45">
      <c r="A73" s="41" t="str">
        <f>A26</f>
        <v>GIS mapping and inventory assessment ($)</v>
      </c>
      <c r="B73" s="145">
        <f>SUM(B26)*(1+Dashboard_1!$H$58)^Model_1!B$54</f>
        <v>240</v>
      </c>
      <c r="C73" s="145">
        <f>SUM(C26)*(1+Dashboard_1!$H$58)^Model_1!C$54</f>
        <v>0</v>
      </c>
      <c r="D73" s="145">
        <f>SUM(D26)*(1+Dashboard_1!$H$58)^Model_1!D$54</f>
        <v>0</v>
      </c>
      <c r="E73" s="145">
        <f>SUM(E26)*(1+Dashboard_1!$H$58)^Model_1!E$54</f>
        <v>0</v>
      </c>
      <c r="F73" s="145">
        <f>SUM(F26)*(1+Dashboard_1!$H$58)^Model_1!F$54</f>
        <v>0</v>
      </c>
      <c r="G73" s="145">
        <f>SUM(G26)*(1+Dashboard_1!$H$58)^Model_1!G$54</f>
        <v>0</v>
      </c>
      <c r="H73" s="145">
        <f>SUM(H26)*(1+Dashboard_1!$H$58)^Model_1!H$54</f>
        <v>0</v>
      </c>
      <c r="I73" s="145">
        <f>SUM(I26)*(1+Dashboard_1!$H$58)^Model_1!I$54</f>
        <v>0</v>
      </c>
      <c r="J73" s="145">
        <f>SUM(J26)*(1+Dashboard_1!$H$58)^Model_1!J$54</f>
        <v>0</v>
      </c>
      <c r="K73" s="145">
        <f>SUM(K26)*(1+Dashboard_1!$H$58)^Model_1!K$54</f>
        <v>0</v>
      </c>
      <c r="L73" s="145">
        <f>SUM(L26)*(1+Dashboard_1!$H$58)^Model_1!L$54</f>
        <v>0</v>
      </c>
      <c r="M73" s="145">
        <f>SUM(M26)*(1+Dashboard_1!$H$58)^Model_1!M$54</f>
        <v>0</v>
      </c>
      <c r="N73" s="145">
        <f>SUM(N26)*(1+Dashboard_1!$H$58)^Model_1!N$54</f>
        <v>0</v>
      </c>
      <c r="O73" s="145">
        <f>SUM(O26)*(1+Dashboard_1!$H$58)^Model_1!O$54</f>
        <v>0</v>
      </c>
      <c r="P73" s="145">
        <f>SUM(P26)*(1+Dashboard_1!$H$58)^Model_1!P$54</f>
        <v>0</v>
      </c>
      <c r="Q73" s="145">
        <f>SUM(Q26)*(1+Dashboard_1!$H$58)^Model_1!Q$54</f>
        <v>0</v>
      </c>
      <c r="R73" s="145">
        <f>SUM(R26)*(1+Dashboard_1!$H$58)^Model_1!R$54</f>
        <v>0</v>
      </c>
      <c r="S73" s="145">
        <f>SUM(S26)*(1+Dashboard_1!$H$58)^Model_1!S$54</f>
        <v>0</v>
      </c>
      <c r="T73" s="145">
        <f>SUM(T26)*(1+Dashboard_1!$H$58)^Model_1!T$54</f>
        <v>0</v>
      </c>
      <c r="U73" s="145">
        <f>SUM(U26)*(1+Dashboard_1!$H$58)^Model_1!U$54</f>
        <v>0</v>
      </c>
      <c r="V73" s="145">
        <f>SUM(V26)*(1+Dashboard_1!$H$58)^Model_1!V$54</f>
        <v>0</v>
      </c>
      <c r="W73" s="145">
        <f>SUM(W26)*(1+Dashboard_1!$H$58)^Model_1!W$54</f>
        <v>0</v>
      </c>
      <c r="X73" s="145">
        <f>SUM(X26)*(1+Dashboard_1!$H$58)^Model_1!X$54</f>
        <v>0</v>
      </c>
      <c r="Y73" s="145">
        <f>SUM(Y26)*(1+Dashboard_1!$H$58)^Model_1!Y$54</f>
        <v>0</v>
      </c>
      <c r="Z73" s="145">
        <f>SUM(Z26)*(1+Dashboard_1!$H$58)^Model_1!Z$54</f>
        <v>0</v>
      </c>
      <c r="AA73" s="145">
        <f>SUM(AA26)*(1+Dashboard_1!$H$58)^Model_1!AA$54</f>
        <v>0</v>
      </c>
      <c r="AB73" s="145">
        <f>SUM(AB26)*(1+Dashboard_1!$H$58)^Model_1!AB$54</f>
        <v>0</v>
      </c>
      <c r="AC73" s="145">
        <f>SUM(AC26)*(1+Dashboard_1!$H$58)^Model_1!AC$54</f>
        <v>0</v>
      </c>
      <c r="AD73" s="145">
        <f>SUM(AD26)*(1+Dashboard_1!$H$58)^Model_1!AD$54</f>
        <v>0</v>
      </c>
      <c r="AE73" s="145">
        <f>SUM(AE26)*(1+Dashboard_1!$H$58)^Model_1!AE$54</f>
        <v>0</v>
      </c>
      <c r="AF73" s="145">
        <f>SUM(AF26)*(1+Dashboard_1!$H$58)^Model_1!AF$54</f>
        <v>0</v>
      </c>
      <c r="AG73" s="145">
        <f>SUM(AG26)*(1+Dashboard_1!$H$58)^Model_1!AG$54</f>
        <v>0</v>
      </c>
      <c r="AH73" s="145">
        <f>SUM(AH26)*(1+Dashboard_1!$H$58)^Model_1!AH$54</f>
        <v>0</v>
      </c>
      <c r="AI73" s="145">
        <f>SUM(AI26)*(1+Dashboard_1!$H$58)^Model_1!AI$54</f>
        <v>0</v>
      </c>
      <c r="AJ73" s="145">
        <f>SUM(AJ26)*(1+Dashboard_1!$H$58)^Model_1!AJ$54</f>
        <v>0</v>
      </c>
      <c r="AK73" s="145">
        <f>SUM(AK26)*(1+Dashboard_1!$H$58)^Model_1!AK$54</f>
        <v>0</v>
      </c>
      <c r="AL73" s="145">
        <f>SUM(AL26)*(1+Dashboard_1!$H$58)^Model_1!AL$54</f>
        <v>0</v>
      </c>
      <c r="AM73" s="145">
        <f>SUM(AM26)*(1+Dashboard_1!$H$58)^Model_1!AM$54</f>
        <v>0</v>
      </c>
      <c r="AN73" s="145">
        <f>SUM(AN26)*(1+Dashboard_1!$H$58)^Model_1!AN$54</f>
        <v>0</v>
      </c>
      <c r="AO73" s="145">
        <f>SUM(AO26)*(1+Dashboard_1!$H$58)^Model_1!AO$54</f>
        <v>0</v>
      </c>
      <c r="AP73" s="145">
        <f>SUM(AP26)*(1+Dashboard_1!$H$58)^Model_1!AP$54</f>
        <v>0</v>
      </c>
      <c r="AQ73" s="145">
        <f>SUM(AQ26)*(1+Dashboard_1!$H$58)^Model_1!AQ$54</f>
        <v>0</v>
      </c>
      <c r="AR73" s="145">
        <f>SUM(AR26)*(1+Dashboard_1!$H$58)^Model_1!AR$54</f>
        <v>0</v>
      </c>
      <c r="AS73" s="145">
        <f>SUM(AS26)*(1+Dashboard_1!$H$58)^Model_1!AS$54</f>
        <v>0</v>
      </c>
      <c r="AT73" s="145">
        <f>SUM(AT26)*(1+Dashboard_1!$H$58)^Model_1!AT$54</f>
        <v>0</v>
      </c>
      <c r="AU73" s="145">
        <f>SUM(AU26)*(1+Dashboard_1!$H$58)^Model_1!AU$54</f>
        <v>0</v>
      </c>
      <c r="AV73" s="145">
        <f>SUM(AV26)*(1+Dashboard_1!$H$58)^Model_1!AV$54</f>
        <v>0</v>
      </c>
      <c r="AW73" s="145">
        <f>SUM(AW26)*(1+Dashboard_1!$H$58)^Model_1!AW$54</f>
        <v>0</v>
      </c>
      <c r="AX73" s="145">
        <f>SUM(AX26)*(1+Dashboard_1!$H$58)^Model_1!AX$54</f>
        <v>0</v>
      </c>
      <c r="AY73" s="145">
        <f>SUM(AY26)*(1+Dashboard_1!$H$58)^Model_1!AY$54</f>
        <v>0</v>
      </c>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8"/>
      <c r="BZ73" s="228"/>
      <c r="CA73" s="228"/>
      <c r="CB73" s="228"/>
      <c r="CC73" s="228"/>
      <c r="CD73" s="228"/>
      <c r="CE73" s="228"/>
      <c r="CF73" s="228"/>
      <c r="CG73" s="228"/>
      <c r="CH73" s="228"/>
      <c r="CI73" s="228"/>
      <c r="CJ73" s="228"/>
      <c r="CK73" s="228"/>
      <c r="CL73" s="228"/>
      <c r="CM73" s="228"/>
      <c r="CN73" s="228"/>
      <c r="CO73" s="228"/>
      <c r="CP73" s="228"/>
      <c r="CQ73" s="228"/>
      <c r="CR73" s="228"/>
      <c r="CS73" s="228"/>
      <c r="CT73" s="228"/>
    </row>
    <row r="74" spans="1:98" s="138" customFormat="1" x14ac:dyDescent="0.45">
      <c r="A74" s="41" t="str">
        <f t="shared" ref="A74:A78" si="91">A29</f>
        <v>User specified cost item 1 ($/tree in Year 1 only)</v>
      </c>
      <c r="B74" s="145">
        <f>SUM(B29)*(1+Dashboard_1!$H$58)^Model_1!B$54</f>
        <v>0</v>
      </c>
      <c r="C74" s="145">
        <f>SUM(C29)*(1+Dashboard_1!$H$58)^Model_1!C$54</f>
        <v>0</v>
      </c>
      <c r="D74" s="145">
        <f>SUM(D29)*(1+Dashboard_1!$H$58)^Model_1!D$54</f>
        <v>0</v>
      </c>
      <c r="E74" s="145">
        <f>SUM(E29)*(1+Dashboard_1!$H$58)^Model_1!E$54</f>
        <v>0</v>
      </c>
      <c r="F74" s="145">
        <f>SUM(F29)*(1+Dashboard_1!$H$58)^Model_1!F$54</f>
        <v>0</v>
      </c>
      <c r="G74" s="145">
        <f>SUM(G29)*(1+Dashboard_1!$H$58)^Model_1!G$54</f>
        <v>0</v>
      </c>
      <c r="H74" s="145">
        <f>SUM(H29)*(1+Dashboard_1!$H$58)^Model_1!H$54</f>
        <v>0</v>
      </c>
      <c r="I74" s="145">
        <f>SUM(I29)*(1+Dashboard_1!$H$58)^Model_1!I$54</f>
        <v>0</v>
      </c>
      <c r="J74" s="145">
        <f>SUM(J29)*(1+Dashboard_1!$H$58)^Model_1!J$54</f>
        <v>0</v>
      </c>
      <c r="K74" s="145">
        <f>SUM(K29)*(1+Dashboard_1!$H$58)^Model_1!K$54</f>
        <v>0</v>
      </c>
      <c r="L74" s="145">
        <f>SUM(L29)*(1+Dashboard_1!$H$58)^Model_1!L$54</f>
        <v>0</v>
      </c>
      <c r="M74" s="145">
        <f>SUM(M29)*(1+Dashboard_1!$H$58)^Model_1!M$54</f>
        <v>0</v>
      </c>
      <c r="N74" s="145">
        <f>SUM(N29)*(1+Dashboard_1!$H$58)^Model_1!N$54</f>
        <v>0</v>
      </c>
      <c r="O74" s="145">
        <f>SUM(O29)*(1+Dashboard_1!$H$58)^Model_1!O$54</f>
        <v>0</v>
      </c>
      <c r="P74" s="145">
        <f>SUM(P29)*(1+Dashboard_1!$H$58)^Model_1!P$54</f>
        <v>0</v>
      </c>
      <c r="Q74" s="145">
        <f>SUM(Q29)*(1+Dashboard_1!$H$58)^Model_1!Q$54</f>
        <v>0</v>
      </c>
      <c r="R74" s="145">
        <f>SUM(R29)*(1+Dashboard_1!$H$58)^Model_1!R$54</f>
        <v>0</v>
      </c>
      <c r="S74" s="145">
        <f>SUM(S29)*(1+Dashboard_1!$H$58)^Model_1!S$54</f>
        <v>0</v>
      </c>
      <c r="T74" s="145">
        <f>SUM(T29)*(1+Dashboard_1!$H$58)^Model_1!T$54</f>
        <v>0</v>
      </c>
      <c r="U74" s="145">
        <f>SUM(U29)*(1+Dashboard_1!$H$58)^Model_1!U$54</f>
        <v>0</v>
      </c>
      <c r="V74" s="145">
        <f>SUM(V29)*(1+Dashboard_1!$H$58)^Model_1!V$54</f>
        <v>0</v>
      </c>
      <c r="W74" s="145">
        <f>SUM(W29)*(1+Dashboard_1!$H$58)^Model_1!W$54</f>
        <v>0</v>
      </c>
      <c r="X74" s="145">
        <f>SUM(X29)*(1+Dashboard_1!$H$58)^Model_1!X$54</f>
        <v>0</v>
      </c>
      <c r="Y74" s="145">
        <f>SUM(Y29)*(1+Dashboard_1!$H$58)^Model_1!Y$54</f>
        <v>0</v>
      </c>
      <c r="Z74" s="145">
        <f>SUM(Z29)*(1+Dashboard_1!$H$58)^Model_1!Z$54</f>
        <v>0</v>
      </c>
      <c r="AA74" s="145">
        <f>SUM(AA29)*(1+Dashboard_1!$H$58)^Model_1!AA$54</f>
        <v>0</v>
      </c>
      <c r="AB74" s="145">
        <f>SUM(AB29)*(1+Dashboard_1!$H$58)^Model_1!AB$54</f>
        <v>0</v>
      </c>
      <c r="AC74" s="145">
        <f>SUM(AC29)*(1+Dashboard_1!$H$58)^Model_1!AC$54</f>
        <v>0</v>
      </c>
      <c r="AD74" s="145">
        <f>SUM(AD29)*(1+Dashboard_1!$H$58)^Model_1!AD$54</f>
        <v>0</v>
      </c>
      <c r="AE74" s="145">
        <f>SUM(AE29)*(1+Dashboard_1!$H$58)^Model_1!AE$54</f>
        <v>0</v>
      </c>
      <c r="AF74" s="145">
        <f>SUM(AF29)*(1+Dashboard_1!$H$58)^Model_1!AF$54</f>
        <v>0</v>
      </c>
      <c r="AG74" s="145">
        <f>SUM(AG29)*(1+Dashboard_1!$H$58)^Model_1!AG$54</f>
        <v>0</v>
      </c>
      <c r="AH74" s="145">
        <f>SUM(AH29)*(1+Dashboard_1!$H$58)^Model_1!AH$54</f>
        <v>0</v>
      </c>
      <c r="AI74" s="145">
        <f>SUM(AI29)*(1+Dashboard_1!$H$58)^Model_1!AI$54</f>
        <v>0</v>
      </c>
      <c r="AJ74" s="145">
        <f>SUM(AJ29)*(1+Dashboard_1!$H$58)^Model_1!AJ$54</f>
        <v>0</v>
      </c>
      <c r="AK74" s="145">
        <f>SUM(AK29)*(1+Dashboard_1!$H$58)^Model_1!AK$54</f>
        <v>0</v>
      </c>
      <c r="AL74" s="145">
        <f>SUM(AL29)*(1+Dashboard_1!$H$58)^Model_1!AL$54</f>
        <v>0</v>
      </c>
      <c r="AM74" s="145">
        <f>SUM(AM29)*(1+Dashboard_1!$H$58)^Model_1!AM$54</f>
        <v>0</v>
      </c>
      <c r="AN74" s="145">
        <f>SUM(AN29)*(1+Dashboard_1!$H$58)^Model_1!AN$54</f>
        <v>0</v>
      </c>
      <c r="AO74" s="145">
        <f>SUM(AO29)*(1+Dashboard_1!$H$58)^Model_1!AO$54</f>
        <v>0</v>
      </c>
      <c r="AP74" s="145">
        <f>SUM(AP29)*(1+Dashboard_1!$H$58)^Model_1!AP$54</f>
        <v>0</v>
      </c>
      <c r="AQ74" s="145">
        <f>SUM(AQ29)*(1+Dashboard_1!$H$58)^Model_1!AQ$54</f>
        <v>0</v>
      </c>
      <c r="AR74" s="145">
        <f>SUM(AR29)*(1+Dashboard_1!$H$58)^Model_1!AR$54</f>
        <v>0</v>
      </c>
      <c r="AS74" s="145">
        <f>SUM(AS29)*(1+Dashboard_1!$H$58)^Model_1!AS$54</f>
        <v>0</v>
      </c>
      <c r="AT74" s="145">
        <f>SUM(AT29)*(1+Dashboard_1!$H$58)^Model_1!AT$54</f>
        <v>0</v>
      </c>
      <c r="AU74" s="145">
        <f>SUM(AU29)*(1+Dashboard_1!$H$58)^Model_1!AU$54</f>
        <v>0</v>
      </c>
      <c r="AV74" s="145">
        <f>SUM(AV29)*(1+Dashboard_1!$H$58)^Model_1!AV$54</f>
        <v>0</v>
      </c>
      <c r="AW74" s="145">
        <f>SUM(AW29)*(1+Dashboard_1!$H$58)^Model_1!AW$54</f>
        <v>0</v>
      </c>
      <c r="AX74" s="145">
        <f>SUM(AX29)*(1+Dashboard_1!$H$58)^Model_1!AX$54</f>
        <v>0</v>
      </c>
      <c r="AY74" s="145">
        <f>SUM(AY29)*(1+Dashboard_1!$H$58)^Model_1!AY$54</f>
        <v>0</v>
      </c>
      <c r="AZ74" s="228"/>
      <c r="BA74" s="228"/>
      <c r="BB74" s="228"/>
      <c r="BC74" s="228"/>
      <c r="BD74" s="228"/>
      <c r="BE74" s="228"/>
      <c r="BF74" s="228"/>
      <c r="BG74" s="228"/>
      <c r="BH74" s="228"/>
      <c r="BI74" s="228"/>
      <c r="BJ74" s="228"/>
      <c r="BK74" s="228"/>
      <c r="BL74" s="228"/>
      <c r="BM74" s="228"/>
      <c r="BN74" s="228"/>
      <c r="BO74" s="228"/>
      <c r="BP74" s="228"/>
      <c r="BQ74" s="228"/>
      <c r="BR74" s="228"/>
      <c r="BS74" s="228"/>
      <c r="BT74" s="228"/>
      <c r="BU74" s="228"/>
      <c r="BV74" s="228"/>
      <c r="BW74" s="228"/>
      <c r="BX74" s="228"/>
      <c r="BY74" s="228"/>
      <c r="BZ74" s="228"/>
      <c r="CA74" s="228"/>
      <c r="CB74" s="228"/>
      <c r="CC74" s="228"/>
      <c r="CD74" s="228"/>
      <c r="CE74" s="228"/>
      <c r="CF74" s="228"/>
      <c r="CG74" s="228"/>
      <c r="CH74" s="228"/>
      <c r="CI74" s="228"/>
      <c r="CJ74" s="228"/>
      <c r="CK74" s="228"/>
      <c r="CL74" s="228"/>
      <c r="CM74" s="228"/>
      <c r="CN74" s="228"/>
      <c r="CO74" s="228"/>
      <c r="CP74" s="228"/>
      <c r="CQ74" s="228"/>
      <c r="CR74" s="228"/>
      <c r="CS74" s="228"/>
      <c r="CT74" s="228"/>
    </row>
    <row r="75" spans="1:98" s="138" customFormat="1" x14ac:dyDescent="0.45">
      <c r="A75" s="41" t="str">
        <f t="shared" si="91"/>
        <v>User specified cost item 2 ($/tree per annum up to year 2)</v>
      </c>
      <c r="B75" s="145">
        <f>SUM(B30)*(1+Dashboard_1!$H$58)^Model_1!B$54</f>
        <v>0</v>
      </c>
      <c r="C75" s="145">
        <f>SUM(C30)*(1+Dashboard_1!$H$58)^Model_1!C$54</f>
        <v>0</v>
      </c>
      <c r="D75" s="145">
        <f>SUM(D30)*(1+Dashboard_1!$H$58)^Model_1!D$54</f>
        <v>0</v>
      </c>
      <c r="E75" s="145">
        <f>SUM(E30)*(1+Dashboard_1!$H$58)^Model_1!E$54</f>
        <v>0</v>
      </c>
      <c r="F75" s="145">
        <f>SUM(F30)*(1+Dashboard_1!$H$58)^Model_1!F$54</f>
        <v>0</v>
      </c>
      <c r="G75" s="145">
        <f>SUM(G30)*(1+Dashboard_1!$H$58)^Model_1!G$54</f>
        <v>0</v>
      </c>
      <c r="H75" s="145">
        <f>SUM(H30)*(1+Dashboard_1!$H$58)^Model_1!H$54</f>
        <v>0</v>
      </c>
      <c r="I75" s="145">
        <f>SUM(I30)*(1+Dashboard_1!$H$58)^Model_1!I$54</f>
        <v>0</v>
      </c>
      <c r="J75" s="145">
        <f>SUM(J30)*(1+Dashboard_1!$H$58)^Model_1!J$54</f>
        <v>0</v>
      </c>
      <c r="K75" s="145">
        <f>SUM(K30)*(1+Dashboard_1!$H$58)^Model_1!K$54</f>
        <v>0</v>
      </c>
      <c r="L75" s="145">
        <f>SUM(L30)*(1+Dashboard_1!$H$58)^Model_1!L$54</f>
        <v>0</v>
      </c>
      <c r="M75" s="145">
        <f>SUM(M30)*(1+Dashboard_1!$H$58)^Model_1!M$54</f>
        <v>0</v>
      </c>
      <c r="N75" s="145">
        <f>SUM(N30)*(1+Dashboard_1!$H$58)^Model_1!N$54</f>
        <v>0</v>
      </c>
      <c r="O75" s="145">
        <f>SUM(O30)*(1+Dashboard_1!$H$58)^Model_1!O$54</f>
        <v>0</v>
      </c>
      <c r="P75" s="145">
        <f>SUM(P30)*(1+Dashboard_1!$H$58)^Model_1!P$54</f>
        <v>0</v>
      </c>
      <c r="Q75" s="145">
        <f>SUM(Q30)*(1+Dashboard_1!$H$58)^Model_1!Q$54</f>
        <v>0</v>
      </c>
      <c r="R75" s="145">
        <f>SUM(R30)*(1+Dashboard_1!$H$58)^Model_1!R$54</f>
        <v>0</v>
      </c>
      <c r="S75" s="145">
        <f>SUM(S30)*(1+Dashboard_1!$H$58)^Model_1!S$54</f>
        <v>0</v>
      </c>
      <c r="T75" s="145">
        <f>SUM(T30)*(1+Dashboard_1!$H$58)^Model_1!T$54</f>
        <v>0</v>
      </c>
      <c r="U75" s="145">
        <f>SUM(U30)*(1+Dashboard_1!$H$58)^Model_1!U$54</f>
        <v>0</v>
      </c>
      <c r="V75" s="145">
        <f>SUM(V30)*(1+Dashboard_1!$H$58)^Model_1!V$54</f>
        <v>0</v>
      </c>
      <c r="W75" s="145">
        <f>SUM(W30)*(1+Dashboard_1!$H$58)^Model_1!W$54</f>
        <v>0</v>
      </c>
      <c r="X75" s="145">
        <f>SUM(X30)*(1+Dashboard_1!$H$58)^Model_1!X$54</f>
        <v>0</v>
      </c>
      <c r="Y75" s="145">
        <f>SUM(Y30)*(1+Dashboard_1!$H$58)^Model_1!Y$54</f>
        <v>0</v>
      </c>
      <c r="Z75" s="145">
        <f>SUM(Z30)*(1+Dashboard_1!$H$58)^Model_1!Z$54</f>
        <v>0</v>
      </c>
      <c r="AA75" s="145">
        <f>SUM(AA30)*(1+Dashboard_1!$H$58)^Model_1!AA$54</f>
        <v>0</v>
      </c>
      <c r="AB75" s="145">
        <f>SUM(AB30)*(1+Dashboard_1!$H$58)^Model_1!AB$54</f>
        <v>0</v>
      </c>
      <c r="AC75" s="145">
        <f>SUM(AC30)*(1+Dashboard_1!$H$58)^Model_1!AC$54</f>
        <v>0</v>
      </c>
      <c r="AD75" s="145">
        <f>SUM(AD30)*(1+Dashboard_1!$H$58)^Model_1!AD$54</f>
        <v>0</v>
      </c>
      <c r="AE75" s="145">
        <f>SUM(AE30)*(1+Dashboard_1!$H$58)^Model_1!AE$54</f>
        <v>0</v>
      </c>
      <c r="AF75" s="145">
        <f>SUM(AF30)*(1+Dashboard_1!$H$58)^Model_1!AF$54</f>
        <v>0</v>
      </c>
      <c r="AG75" s="145">
        <f>SUM(AG30)*(1+Dashboard_1!$H$58)^Model_1!AG$54</f>
        <v>0</v>
      </c>
      <c r="AH75" s="145">
        <f>SUM(AH30)*(1+Dashboard_1!$H$58)^Model_1!AH$54</f>
        <v>0</v>
      </c>
      <c r="AI75" s="145">
        <f>SUM(AI30)*(1+Dashboard_1!$H$58)^Model_1!AI$54</f>
        <v>0</v>
      </c>
      <c r="AJ75" s="145">
        <f>SUM(AJ30)*(1+Dashboard_1!$H$58)^Model_1!AJ$54</f>
        <v>0</v>
      </c>
      <c r="AK75" s="145">
        <f>SUM(AK30)*(1+Dashboard_1!$H$58)^Model_1!AK$54</f>
        <v>0</v>
      </c>
      <c r="AL75" s="145">
        <f>SUM(AL30)*(1+Dashboard_1!$H$58)^Model_1!AL$54</f>
        <v>0</v>
      </c>
      <c r="AM75" s="145">
        <f>SUM(AM30)*(1+Dashboard_1!$H$58)^Model_1!AM$54</f>
        <v>0</v>
      </c>
      <c r="AN75" s="145">
        <f>SUM(AN30)*(1+Dashboard_1!$H$58)^Model_1!AN$54</f>
        <v>0</v>
      </c>
      <c r="AO75" s="145">
        <f>SUM(AO30)*(1+Dashboard_1!$H$58)^Model_1!AO$54</f>
        <v>0</v>
      </c>
      <c r="AP75" s="145">
        <f>SUM(AP30)*(1+Dashboard_1!$H$58)^Model_1!AP$54</f>
        <v>0</v>
      </c>
      <c r="AQ75" s="145">
        <f>SUM(AQ30)*(1+Dashboard_1!$H$58)^Model_1!AQ$54</f>
        <v>0</v>
      </c>
      <c r="AR75" s="145">
        <f>SUM(AR30)*(1+Dashboard_1!$H$58)^Model_1!AR$54</f>
        <v>0</v>
      </c>
      <c r="AS75" s="145">
        <f>SUM(AS30)*(1+Dashboard_1!$H$58)^Model_1!AS$54</f>
        <v>0</v>
      </c>
      <c r="AT75" s="145">
        <f>SUM(AT30)*(1+Dashboard_1!$H$58)^Model_1!AT$54</f>
        <v>0</v>
      </c>
      <c r="AU75" s="145">
        <f>SUM(AU30)*(1+Dashboard_1!$H$58)^Model_1!AU$54</f>
        <v>0</v>
      </c>
      <c r="AV75" s="145">
        <f>SUM(AV30)*(1+Dashboard_1!$H$58)^Model_1!AV$54</f>
        <v>0</v>
      </c>
      <c r="AW75" s="145">
        <f>SUM(AW30)*(1+Dashboard_1!$H$58)^Model_1!AW$54</f>
        <v>0</v>
      </c>
      <c r="AX75" s="145">
        <f>SUM(AX30)*(1+Dashboard_1!$H$58)^Model_1!AX$54</f>
        <v>0</v>
      </c>
      <c r="AY75" s="145">
        <f>SUM(AY30)*(1+Dashboard_1!$H$58)^Model_1!AY$54</f>
        <v>0</v>
      </c>
      <c r="AZ75" s="228"/>
      <c r="BA75" s="228"/>
      <c r="BB75" s="228"/>
      <c r="BC75" s="228"/>
      <c r="BD75" s="228"/>
      <c r="BE75" s="228"/>
      <c r="BF75" s="228"/>
      <c r="BG75" s="228"/>
      <c r="BH75" s="228"/>
      <c r="BI75" s="228"/>
      <c r="BJ75" s="228"/>
      <c r="BK75" s="228"/>
      <c r="BL75" s="228"/>
      <c r="BM75" s="228"/>
      <c r="BN75" s="228"/>
      <c r="BO75" s="228"/>
      <c r="BP75" s="228"/>
      <c r="BQ75" s="228"/>
      <c r="BR75" s="228"/>
      <c r="BS75" s="228"/>
      <c r="BT75" s="228"/>
      <c r="BU75" s="228"/>
      <c r="BV75" s="228"/>
      <c r="BW75" s="228"/>
      <c r="BX75" s="228"/>
      <c r="BY75" s="228"/>
      <c r="BZ75" s="228"/>
      <c r="CA75" s="228"/>
      <c r="CB75" s="228"/>
      <c r="CC75" s="228"/>
      <c r="CD75" s="228"/>
      <c r="CE75" s="228"/>
      <c r="CF75" s="228"/>
      <c r="CG75" s="228"/>
      <c r="CH75" s="228"/>
      <c r="CI75" s="228"/>
      <c r="CJ75" s="228"/>
      <c r="CK75" s="228"/>
      <c r="CL75" s="228"/>
      <c r="CM75" s="228"/>
      <c r="CN75" s="228"/>
      <c r="CO75" s="228"/>
      <c r="CP75" s="228"/>
      <c r="CQ75" s="228"/>
      <c r="CR75" s="228"/>
      <c r="CS75" s="228"/>
      <c r="CT75" s="228"/>
    </row>
    <row r="76" spans="1:98" s="138" customFormat="1" x14ac:dyDescent="0.45">
      <c r="A76" s="41" t="str">
        <f t="shared" si="91"/>
        <v>User specified cost item 3 ($/tree per annum)</v>
      </c>
      <c r="B76" s="145">
        <f>SUM(B31)*(1+Dashboard_1!$H$58)^Model_1!B$54</f>
        <v>0</v>
      </c>
      <c r="C76" s="145">
        <f>SUM(C31)*(1+Dashboard_1!$H$58)^Model_1!C$54</f>
        <v>0</v>
      </c>
      <c r="D76" s="145">
        <f>SUM(D31)*(1+Dashboard_1!$H$58)^Model_1!D$54</f>
        <v>0</v>
      </c>
      <c r="E76" s="145">
        <f>SUM(E31)*(1+Dashboard_1!$H$58)^Model_1!E$54</f>
        <v>0</v>
      </c>
      <c r="F76" s="145">
        <f>SUM(F31)*(1+Dashboard_1!$H$58)^Model_1!F$54</f>
        <v>0</v>
      </c>
      <c r="G76" s="145">
        <f>SUM(G31)*(1+Dashboard_1!$H$58)^Model_1!G$54</f>
        <v>0</v>
      </c>
      <c r="H76" s="145">
        <f>SUM(H31)*(1+Dashboard_1!$H$58)^Model_1!H$54</f>
        <v>0</v>
      </c>
      <c r="I76" s="145">
        <f>SUM(I31)*(1+Dashboard_1!$H$58)^Model_1!I$54</f>
        <v>0</v>
      </c>
      <c r="J76" s="145">
        <f>SUM(J31)*(1+Dashboard_1!$H$58)^Model_1!J$54</f>
        <v>0</v>
      </c>
      <c r="K76" s="145">
        <f>SUM(K31)*(1+Dashboard_1!$H$58)^Model_1!K$54</f>
        <v>0</v>
      </c>
      <c r="L76" s="145">
        <f>SUM(L31)*(1+Dashboard_1!$H$58)^Model_1!L$54</f>
        <v>0</v>
      </c>
      <c r="M76" s="145">
        <f>SUM(M31)*(1+Dashboard_1!$H$58)^Model_1!M$54</f>
        <v>0</v>
      </c>
      <c r="N76" s="145">
        <f>SUM(N31)*(1+Dashboard_1!$H$58)^Model_1!N$54</f>
        <v>0</v>
      </c>
      <c r="O76" s="145">
        <f>SUM(O31)*(1+Dashboard_1!$H$58)^Model_1!O$54</f>
        <v>0</v>
      </c>
      <c r="P76" s="145">
        <f>SUM(P31)*(1+Dashboard_1!$H$58)^Model_1!P$54</f>
        <v>0</v>
      </c>
      <c r="Q76" s="145">
        <f>SUM(Q31)*(1+Dashboard_1!$H$58)^Model_1!Q$54</f>
        <v>0</v>
      </c>
      <c r="R76" s="145">
        <f>SUM(R31)*(1+Dashboard_1!$H$58)^Model_1!R$54</f>
        <v>0</v>
      </c>
      <c r="S76" s="145">
        <f>SUM(S31)*(1+Dashboard_1!$H$58)^Model_1!S$54</f>
        <v>0</v>
      </c>
      <c r="T76" s="145">
        <f>SUM(T31)*(1+Dashboard_1!$H$58)^Model_1!T$54</f>
        <v>0</v>
      </c>
      <c r="U76" s="145">
        <f>SUM(U31)*(1+Dashboard_1!$H$58)^Model_1!U$54</f>
        <v>0</v>
      </c>
      <c r="V76" s="145">
        <f>SUM(V31)*(1+Dashboard_1!$H$58)^Model_1!V$54</f>
        <v>0</v>
      </c>
      <c r="W76" s="145">
        <f>SUM(W31)*(1+Dashboard_1!$H$58)^Model_1!W$54</f>
        <v>0</v>
      </c>
      <c r="X76" s="145">
        <f>SUM(X31)*(1+Dashboard_1!$H$58)^Model_1!X$54</f>
        <v>0</v>
      </c>
      <c r="Y76" s="145">
        <f>SUM(Y31)*(1+Dashboard_1!$H$58)^Model_1!Y$54</f>
        <v>0</v>
      </c>
      <c r="Z76" s="145">
        <f>SUM(Z31)*(1+Dashboard_1!$H$58)^Model_1!Z$54</f>
        <v>0</v>
      </c>
      <c r="AA76" s="145">
        <f>SUM(AA31)*(1+Dashboard_1!$H$58)^Model_1!AA$54</f>
        <v>0</v>
      </c>
      <c r="AB76" s="145">
        <f>SUM(AB31)*(1+Dashboard_1!$H$58)^Model_1!AB$54</f>
        <v>0</v>
      </c>
      <c r="AC76" s="145">
        <f>SUM(AC31)*(1+Dashboard_1!$H$58)^Model_1!AC$54</f>
        <v>0</v>
      </c>
      <c r="AD76" s="145">
        <f>SUM(AD31)*(1+Dashboard_1!$H$58)^Model_1!AD$54</f>
        <v>0</v>
      </c>
      <c r="AE76" s="145">
        <f>SUM(AE31)*(1+Dashboard_1!$H$58)^Model_1!AE$54</f>
        <v>0</v>
      </c>
      <c r="AF76" s="145">
        <f>SUM(AF31)*(1+Dashboard_1!$H$58)^Model_1!AF$54</f>
        <v>0</v>
      </c>
      <c r="AG76" s="145">
        <f>SUM(AG31)*(1+Dashboard_1!$H$58)^Model_1!AG$54</f>
        <v>0</v>
      </c>
      <c r="AH76" s="145">
        <f>SUM(AH31)*(1+Dashboard_1!$H$58)^Model_1!AH$54</f>
        <v>0</v>
      </c>
      <c r="AI76" s="145">
        <f>SUM(AI31)*(1+Dashboard_1!$H$58)^Model_1!AI$54</f>
        <v>0</v>
      </c>
      <c r="AJ76" s="145">
        <f>SUM(AJ31)*(1+Dashboard_1!$H$58)^Model_1!AJ$54</f>
        <v>0</v>
      </c>
      <c r="AK76" s="145">
        <f>SUM(AK31)*(1+Dashboard_1!$H$58)^Model_1!AK$54</f>
        <v>0</v>
      </c>
      <c r="AL76" s="145">
        <f>SUM(AL31)*(1+Dashboard_1!$H$58)^Model_1!AL$54</f>
        <v>0</v>
      </c>
      <c r="AM76" s="145">
        <f>SUM(AM31)*(1+Dashboard_1!$H$58)^Model_1!AM$54</f>
        <v>0</v>
      </c>
      <c r="AN76" s="145">
        <f>SUM(AN31)*(1+Dashboard_1!$H$58)^Model_1!AN$54</f>
        <v>0</v>
      </c>
      <c r="AO76" s="145">
        <f>SUM(AO31)*(1+Dashboard_1!$H$58)^Model_1!AO$54</f>
        <v>0</v>
      </c>
      <c r="AP76" s="145">
        <f>SUM(AP31)*(1+Dashboard_1!$H$58)^Model_1!AP$54</f>
        <v>0</v>
      </c>
      <c r="AQ76" s="145">
        <f>SUM(AQ31)*(1+Dashboard_1!$H$58)^Model_1!AQ$54</f>
        <v>0</v>
      </c>
      <c r="AR76" s="145">
        <f>SUM(AR31)*(1+Dashboard_1!$H$58)^Model_1!AR$54</f>
        <v>0</v>
      </c>
      <c r="AS76" s="145">
        <f>SUM(AS31)*(1+Dashboard_1!$H$58)^Model_1!AS$54</f>
        <v>0</v>
      </c>
      <c r="AT76" s="145">
        <f>SUM(AT31)*(1+Dashboard_1!$H$58)^Model_1!AT$54</f>
        <v>0</v>
      </c>
      <c r="AU76" s="145">
        <f>SUM(AU31)*(1+Dashboard_1!$H$58)^Model_1!AU$54</f>
        <v>0</v>
      </c>
      <c r="AV76" s="145">
        <f>SUM(AV31)*(1+Dashboard_1!$H$58)^Model_1!AV$54</f>
        <v>0</v>
      </c>
      <c r="AW76" s="145">
        <f>SUM(AW31)*(1+Dashboard_1!$H$58)^Model_1!AW$54</f>
        <v>0</v>
      </c>
      <c r="AX76" s="145">
        <f>SUM(AX31)*(1+Dashboard_1!$H$58)^Model_1!AX$54</f>
        <v>0</v>
      </c>
      <c r="AY76" s="145">
        <f>SUM(AY31)*(1+Dashboard_1!$H$58)^Model_1!AY$54</f>
        <v>0</v>
      </c>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8"/>
      <c r="CP76" s="228"/>
      <c r="CQ76" s="228"/>
      <c r="CR76" s="228"/>
      <c r="CS76" s="228"/>
      <c r="CT76" s="228"/>
    </row>
    <row r="77" spans="1:98" s="138" customFormat="1" x14ac:dyDescent="0.45">
      <c r="A77" s="41" t="str">
        <f t="shared" si="91"/>
        <v>User specified cost item 4 ($/tree per annum)</v>
      </c>
      <c r="B77" s="145">
        <f>SUM(B32)*(1+Dashboard_1!$H$58)^Model_1!B$54</f>
        <v>0</v>
      </c>
      <c r="C77" s="145">
        <f>SUM(C32)*(1+Dashboard_1!$H$58)^Model_1!C$54</f>
        <v>0</v>
      </c>
      <c r="D77" s="145">
        <f>SUM(D32)*(1+Dashboard_1!$H$58)^Model_1!D$54</f>
        <v>0</v>
      </c>
      <c r="E77" s="145">
        <f>SUM(E32)*(1+Dashboard_1!$H$58)^Model_1!E$54</f>
        <v>0</v>
      </c>
      <c r="F77" s="145">
        <f>SUM(F32)*(1+Dashboard_1!$H$58)^Model_1!F$54</f>
        <v>0</v>
      </c>
      <c r="G77" s="145">
        <f>SUM(G32)*(1+Dashboard_1!$H$58)^Model_1!G$54</f>
        <v>0</v>
      </c>
      <c r="H77" s="145">
        <f>SUM(H32)*(1+Dashboard_1!$H$58)^Model_1!H$54</f>
        <v>0</v>
      </c>
      <c r="I77" s="145">
        <f>SUM(I32)*(1+Dashboard_1!$H$58)^Model_1!I$54</f>
        <v>0</v>
      </c>
      <c r="J77" s="145">
        <f>SUM(J32)*(1+Dashboard_1!$H$58)^Model_1!J$54</f>
        <v>0</v>
      </c>
      <c r="K77" s="145">
        <f>SUM(K32)*(1+Dashboard_1!$H$58)^Model_1!K$54</f>
        <v>0</v>
      </c>
      <c r="L77" s="145">
        <f>SUM(L32)*(1+Dashboard_1!$H$58)^Model_1!L$54</f>
        <v>0</v>
      </c>
      <c r="M77" s="145">
        <f>SUM(M32)*(1+Dashboard_1!$H$58)^Model_1!M$54</f>
        <v>0</v>
      </c>
      <c r="N77" s="145">
        <f>SUM(N32)*(1+Dashboard_1!$H$58)^Model_1!N$54</f>
        <v>0</v>
      </c>
      <c r="O77" s="145">
        <f>SUM(O32)*(1+Dashboard_1!$H$58)^Model_1!O$54</f>
        <v>0</v>
      </c>
      <c r="P77" s="145">
        <f>SUM(P32)*(1+Dashboard_1!$H$58)^Model_1!P$54</f>
        <v>0</v>
      </c>
      <c r="Q77" s="145">
        <f>SUM(Q32)*(1+Dashboard_1!$H$58)^Model_1!Q$54</f>
        <v>0</v>
      </c>
      <c r="R77" s="145">
        <f>SUM(R32)*(1+Dashboard_1!$H$58)^Model_1!R$54</f>
        <v>0</v>
      </c>
      <c r="S77" s="145">
        <f>SUM(S32)*(1+Dashboard_1!$H$58)^Model_1!S$54</f>
        <v>0</v>
      </c>
      <c r="T77" s="145">
        <f>SUM(T32)*(1+Dashboard_1!$H$58)^Model_1!T$54</f>
        <v>0</v>
      </c>
      <c r="U77" s="145">
        <f>SUM(U32)*(1+Dashboard_1!$H$58)^Model_1!U$54</f>
        <v>0</v>
      </c>
      <c r="V77" s="145">
        <f>SUM(V32)*(1+Dashboard_1!$H$58)^Model_1!V$54</f>
        <v>0</v>
      </c>
      <c r="W77" s="145">
        <f>SUM(W32)*(1+Dashboard_1!$H$58)^Model_1!W$54</f>
        <v>0</v>
      </c>
      <c r="X77" s="145">
        <f>SUM(X32)*(1+Dashboard_1!$H$58)^Model_1!X$54</f>
        <v>0</v>
      </c>
      <c r="Y77" s="145">
        <f>SUM(Y32)*(1+Dashboard_1!$H$58)^Model_1!Y$54</f>
        <v>0</v>
      </c>
      <c r="Z77" s="145">
        <f>SUM(Z32)*(1+Dashboard_1!$H$58)^Model_1!Z$54</f>
        <v>0</v>
      </c>
      <c r="AA77" s="145">
        <f>SUM(AA32)*(1+Dashboard_1!$H$58)^Model_1!AA$54</f>
        <v>0</v>
      </c>
      <c r="AB77" s="145">
        <f>SUM(AB32)*(1+Dashboard_1!$H$58)^Model_1!AB$54</f>
        <v>0</v>
      </c>
      <c r="AC77" s="145">
        <f>SUM(AC32)*(1+Dashboard_1!$H$58)^Model_1!AC$54</f>
        <v>0</v>
      </c>
      <c r="AD77" s="145">
        <f>SUM(AD32)*(1+Dashboard_1!$H$58)^Model_1!AD$54</f>
        <v>0</v>
      </c>
      <c r="AE77" s="145">
        <f>SUM(AE32)*(1+Dashboard_1!$H$58)^Model_1!AE$54</f>
        <v>0</v>
      </c>
      <c r="AF77" s="145">
        <f>SUM(AF32)*(1+Dashboard_1!$H$58)^Model_1!AF$54</f>
        <v>0</v>
      </c>
      <c r="AG77" s="145">
        <f>SUM(AG32)*(1+Dashboard_1!$H$58)^Model_1!AG$54</f>
        <v>0</v>
      </c>
      <c r="AH77" s="145">
        <f>SUM(AH32)*(1+Dashboard_1!$H$58)^Model_1!AH$54</f>
        <v>0</v>
      </c>
      <c r="AI77" s="145">
        <f>SUM(AI32)*(1+Dashboard_1!$H$58)^Model_1!AI$54</f>
        <v>0</v>
      </c>
      <c r="AJ77" s="145">
        <f>SUM(AJ32)*(1+Dashboard_1!$H$58)^Model_1!AJ$54</f>
        <v>0</v>
      </c>
      <c r="AK77" s="145">
        <f>SUM(AK32)*(1+Dashboard_1!$H$58)^Model_1!AK$54</f>
        <v>0</v>
      </c>
      <c r="AL77" s="145">
        <f>SUM(AL32)*(1+Dashboard_1!$H$58)^Model_1!AL$54</f>
        <v>0</v>
      </c>
      <c r="AM77" s="145">
        <f>SUM(AM32)*(1+Dashboard_1!$H$58)^Model_1!AM$54</f>
        <v>0</v>
      </c>
      <c r="AN77" s="145">
        <f>SUM(AN32)*(1+Dashboard_1!$H$58)^Model_1!AN$54</f>
        <v>0</v>
      </c>
      <c r="AO77" s="145">
        <f>SUM(AO32)*(1+Dashboard_1!$H$58)^Model_1!AO$54</f>
        <v>0</v>
      </c>
      <c r="AP77" s="145">
        <f>SUM(AP32)*(1+Dashboard_1!$H$58)^Model_1!AP$54</f>
        <v>0</v>
      </c>
      <c r="AQ77" s="145">
        <f>SUM(AQ32)*(1+Dashboard_1!$H$58)^Model_1!AQ$54</f>
        <v>0</v>
      </c>
      <c r="AR77" s="145">
        <f>SUM(AR32)*(1+Dashboard_1!$H$58)^Model_1!AR$54</f>
        <v>0</v>
      </c>
      <c r="AS77" s="145">
        <f>SUM(AS32)*(1+Dashboard_1!$H$58)^Model_1!AS$54</f>
        <v>0</v>
      </c>
      <c r="AT77" s="145">
        <f>SUM(AT32)*(1+Dashboard_1!$H$58)^Model_1!AT$54</f>
        <v>0</v>
      </c>
      <c r="AU77" s="145">
        <f>SUM(AU32)*(1+Dashboard_1!$H$58)^Model_1!AU$54</f>
        <v>0</v>
      </c>
      <c r="AV77" s="145">
        <f>SUM(AV32)*(1+Dashboard_1!$H$58)^Model_1!AV$54</f>
        <v>0</v>
      </c>
      <c r="AW77" s="145">
        <f>SUM(AW32)*(1+Dashboard_1!$H$58)^Model_1!AW$54</f>
        <v>0</v>
      </c>
      <c r="AX77" s="145">
        <f>SUM(AX32)*(1+Dashboard_1!$H$58)^Model_1!AX$54</f>
        <v>0</v>
      </c>
      <c r="AY77" s="145">
        <f>SUM(AY32)*(1+Dashboard_1!$H$58)^Model_1!AY$54</f>
        <v>0</v>
      </c>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row>
    <row r="78" spans="1:98" s="138" customFormat="1" x14ac:dyDescent="0.45">
      <c r="A78" s="41" t="str">
        <f t="shared" si="91"/>
        <v>User specified cost item 5 ($/tree per annum)</v>
      </c>
      <c r="B78" s="145">
        <f>SUM(B33)*(1+Dashboard_1!$H$58)^Model_1!B$54</f>
        <v>0</v>
      </c>
      <c r="C78" s="145">
        <f>SUM(C33)*(1+Dashboard_1!$H$58)^Model_1!C$54</f>
        <v>0</v>
      </c>
      <c r="D78" s="145">
        <f>SUM(D33)*(1+Dashboard_1!$H$58)^Model_1!D$54</f>
        <v>0</v>
      </c>
      <c r="E78" s="145">
        <f>SUM(E33)*(1+Dashboard_1!$H$58)^Model_1!E$54</f>
        <v>0</v>
      </c>
      <c r="F78" s="145">
        <f>SUM(F33)*(1+Dashboard_1!$H$58)^Model_1!F$54</f>
        <v>0</v>
      </c>
      <c r="G78" s="145">
        <f>SUM(G33)*(1+Dashboard_1!$H$58)^Model_1!G$54</f>
        <v>0</v>
      </c>
      <c r="H78" s="145">
        <f>SUM(H33)*(1+Dashboard_1!$H$58)^Model_1!H$54</f>
        <v>0</v>
      </c>
      <c r="I78" s="145">
        <f>SUM(I33)*(1+Dashboard_1!$H$58)^Model_1!I$54</f>
        <v>0</v>
      </c>
      <c r="J78" s="145">
        <f>SUM(J33)*(1+Dashboard_1!$H$58)^Model_1!J$54</f>
        <v>0</v>
      </c>
      <c r="K78" s="145">
        <f>SUM(K33)*(1+Dashboard_1!$H$58)^Model_1!K$54</f>
        <v>0</v>
      </c>
      <c r="L78" s="145">
        <f>SUM(L33)*(1+Dashboard_1!$H$58)^Model_1!L$54</f>
        <v>0</v>
      </c>
      <c r="M78" s="145">
        <f>SUM(M33)*(1+Dashboard_1!$H$58)^Model_1!M$54</f>
        <v>0</v>
      </c>
      <c r="N78" s="145">
        <f>SUM(N33)*(1+Dashboard_1!$H$58)^Model_1!N$54</f>
        <v>0</v>
      </c>
      <c r="O78" s="145">
        <f>SUM(O33)*(1+Dashboard_1!$H$58)^Model_1!O$54</f>
        <v>0</v>
      </c>
      <c r="P78" s="145">
        <f>SUM(P33)*(1+Dashboard_1!$H$58)^Model_1!P$54</f>
        <v>0</v>
      </c>
      <c r="Q78" s="145">
        <f>SUM(Q33)*(1+Dashboard_1!$H$58)^Model_1!Q$54</f>
        <v>0</v>
      </c>
      <c r="R78" s="145">
        <f>SUM(R33)*(1+Dashboard_1!$H$58)^Model_1!R$54</f>
        <v>0</v>
      </c>
      <c r="S78" s="145">
        <f>SUM(S33)*(1+Dashboard_1!$H$58)^Model_1!S$54</f>
        <v>0</v>
      </c>
      <c r="T78" s="145">
        <f>SUM(T33)*(1+Dashboard_1!$H$58)^Model_1!T$54</f>
        <v>0</v>
      </c>
      <c r="U78" s="145">
        <f>SUM(U33)*(1+Dashboard_1!$H$58)^Model_1!U$54</f>
        <v>0</v>
      </c>
      <c r="V78" s="145">
        <f>SUM(V33)*(1+Dashboard_1!$H$58)^Model_1!V$54</f>
        <v>0</v>
      </c>
      <c r="W78" s="145">
        <f>SUM(W33)*(1+Dashboard_1!$H$58)^Model_1!W$54</f>
        <v>0</v>
      </c>
      <c r="X78" s="145">
        <f>SUM(X33)*(1+Dashboard_1!$H$58)^Model_1!X$54</f>
        <v>0</v>
      </c>
      <c r="Y78" s="145">
        <f>SUM(Y33)*(1+Dashboard_1!$H$58)^Model_1!Y$54</f>
        <v>0</v>
      </c>
      <c r="Z78" s="145">
        <f>SUM(Z33)*(1+Dashboard_1!$H$58)^Model_1!Z$54</f>
        <v>0</v>
      </c>
      <c r="AA78" s="145">
        <f>SUM(AA33)*(1+Dashboard_1!$H$58)^Model_1!AA$54</f>
        <v>0</v>
      </c>
      <c r="AB78" s="145">
        <f>SUM(AB33)*(1+Dashboard_1!$H$58)^Model_1!AB$54</f>
        <v>0</v>
      </c>
      <c r="AC78" s="145">
        <f>SUM(AC33)*(1+Dashboard_1!$H$58)^Model_1!AC$54</f>
        <v>0</v>
      </c>
      <c r="AD78" s="145">
        <f>SUM(AD33)*(1+Dashboard_1!$H$58)^Model_1!AD$54</f>
        <v>0</v>
      </c>
      <c r="AE78" s="145">
        <f>SUM(AE33)*(1+Dashboard_1!$H$58)^Model_1!AE$54</f>
        <v>0</v>
      </c>
      <c r="AF78" s="145">
        <f>SUM(AF33)*(1+Dashboard_1!$H$58)^Model_1!AF$54</f>
        <v>0</v>
      </c>
      <c r="AG78" s="145">
        <f>SUM(AG33)*(1+Dashboard_1!$H$58)^Model_1!AG$54</f>
        <v>0</v>
      </c>
      <c r="AH78" s="145">
        <f>SUM(AH33)*(1+Dashboard_1!$H$58)^Model_1!AH$54</f>
        <v>0</v>
      </c>
      <c r="AI78" s="145">
        <f>SUM(AI33)*(1+Dashboard_1!$H$58)^Model_1!AI$54</f>
        <v>0</v>
      </c>
      <c r="AJ78" s="145">
        <f>SUM(AJ33)*(1+Dashboard_1!$H$58)^Model_1!AJ$54</f>
        <v>0</v>
      </c>
      <c r="AK78" s="145">
        <f>SUM(AK33)*(1+Dashboard_1!$H$58)^Model_1!AK$54</f>
        <v>0</v>
      </c>
      <c r="AL78" s="145">
        <f>SUM(AL33)*(1+Dashboard_1!$H$58)^Model_1!AL$54</f>
        <v>0</v>
      </c>
      <c r="AM78" s="145">
        <f>SUM(AM33)*(1+Dashboard_1!$H$58)^Model_1!AM$54</f>
        <v>0</v>
      </c>
      <c r="AN78" s="145">
        <f>SUM(AN33)*(1+Dashboard_1!$H$58)^Model_1!AN$54</f>
        <v>0</v>
      </c>
      <c r="AO78" s="145">
        <f>SUM(AO33)*(1+Dashboard_1!$H$58)^Model_1!AO$54</f>
        <v>0</v>
      </c>
      <c r="AP78" s="145">
        <f>SUM(AP33)*(1+Dashboard_1!$H$58)^Model_1!AP$54</f>
        <v>0</v>
      </c>
      <c r="AQ78" s="145">
        <f>SUM(AQ33)*(1+Dashboard_1!$H$58)^Model_1!AQ$54</f>
        <v>0</v>
      </c>
      <c r="AR78" s="145">
        <f>SUM(AR33)*(1+Dashboard_1!$H$58)^Model_1!AR$54</f>
        <v>0</v>
      </c>
      <c r="AS78" s="145">
        <f>SUM(AS33)*(1+Dashboard_1!$H$58)^Model_1!AS$54</f>
        <v>0</v>
      </c>
      <c r="AT78" s="145">
        <f>SUM(AT33)*(1+Dashboard_1!$H$58)^Model_1!AT$54</f>
        <v>0</v>
      </c>
      <c r="AU78" s="145">
        <f>SUM(AU33)*(1+Dashboard_1!$H$58)^Model_1!AU$54</f>
        <v>0</v>
      </c>
      <c r="AV78" s="145">
        <f>SUM(AV33)*(1+Dashboard_1!$H$58)^Model_1!AV$54</f>
        <v>0</v>
      </c>
      <c r="AW78" s="145">
        <f>SUM(AW33)*(1+Dashboard_1!$H$58)^Model_1!AW$54</f>
        <v>0</v>
      </c>
      <c r="AX78" s="145">
        <f>SUM(AX33)*(1+Dashboard_1!$H$58)^Model_1!AX$54</f>
        <v>0</v>
      </c>
      <c r="AY78" s="145">
        <f>SUM(AY33)*(1+Dashboard_1!$H$58)^Model_1!AY$54</f>
        <v>0</v>
      </c>
      <c r="AZ78" s="228"/>
      <c r="BA78" s="228"/>
      <c r="BB78" s="228"/>
      <c r="BC78" s="228"/>
      <c r="BD78" s="228"/>
      <c r="BE78" s="228"/>
      <c r="BF78" s="228"/>
      <c r="BG78" s="228"/>
      <c r="BH78" s="228"/>
      <c r="BI78" s="228"/>
      <c r="BJ78" s="228"/>
      <c r="BK78" s="228"/>
      <c r="BL78" s="228"/>
      <c r="BM78" s="228"/>
      <c r="BN78" s="228"/>
      <c r="BO78" s="228"/>
      <c r="BP78" s="228"/>
      <c r="BQ78" s="228"/>
      <c r="BR78" s="228"/>
      <c r="BS78" s="228"/>
      <c r="BT78" s="228"/>
      <c r="BU78" s="228"/>
      <c r="BV78" s="228"/>
      <c r="BW78" s="228"/>
      <c r="BX78" s="228"/>
      <c r="BY78" s="228"/>
      <c r="BZ78" s="228"/>
      <c r="CA78" s="228"/>
      <c r="CB78" s="228"/>
      <c r="CC78" s="228"/>
      <c r="CD78" s="228"/>
      <c r="CE78" s="228"/>
      <c r="CF78" s="228"/>
      <c r="CG78" s="228"/>
      <c r="CH78" s="228"/>
      <c r="CI78" s="228"/>
      <c r="CJ78" s="228"/>
      <c r="CK78" s="228"/>
      <c r="CL78" s="228"/>
      <c r="CM78" s="228"/>
      <c r="CN78" s="228"/>
      <c r="CO78" s="228"/>
      <c r="CP78" s="228"/>
      <c r="CQ78" s="228"/>
      <c r="CR78" s="228"/>
      <c r="CS78" s="228"/>
      <c r="CT78" s="228"/>
    </row>
    <row r="79" spans="1:98" ht="14.25" hidden="1" customHeight="1" x14ac:dyDescent="0.45"/>
  </sheetData>
  <sheetProtection algorithmName="SHA-512" hashValue="jMRMxFAqJ/xMXE49wwmUPNlAZzqyrpYvxVMmsfTGiKov+7aXTTStOHs5U+JnkO6FUStIPVSHCjRu9Ic9+giBgg==" saltValue="dcXm6WwkKJhPnvS1ZesTIA==" spinCount="100000" sheet="1" formatColumns="0" formatRows="0"/>
  <phoneticPr fontId="10" type="noConversion"/>
  <dataValidations xWindow="501" yWindow="479" count="2">
    <dataValidation allowBlank="1" showInputMessage="1" showErrorMessage="1" prompt="Total cost of removing mature but dead/dying trees" sqref="H10" xr:uid="{1A23E499-057E-4A71-9533-2F37175E6230}"/>
    <dataValidation allowBlank="1" showInputMessage="1" showErrorMessage="1" prompt="Cost of removing pre-project trees before planting new trees" sqref="B10" xr:uid="{BA408F94-D831-4A98-8306-45D2C8AD413A}"/>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AC79-1B7C-49E5-B581-4B427E491DA9}">
  <sheetPr>
    <tabColor theme="6"/>
  </sheetPr>
  <dimension ref="A1:CT78"/>
  <sheetViews>
    <sheetView zoomScale="115" zoomScaleNormal="115" workbookViewId="0">
      <pane xSplit="1" ySplit="2" topLeftCell="B7" activePane="bottomRight" state="frozen"/>
      <selection activeCell="B38" sqref="B38"/>
      <selection pane="topRight" activeCell="B38" sqref="B38"/>
      <selection pane="bottomLeft" activeCell="B38" sqref="B38"/>
      <selection pane="bottomRight" activeCell="B35" sqref="B35"/>
    </sheetView>
  </sheetViews>
  <sheetFormatPr defaultColWidth="0" defaultRowHeight="14.25" zeroHeight="1" x14ac:dyDescent="0.45"/>
  <cols>
    <col min="1" max="1" width="52.3984375" style="41" customWidth="1"/>
    <col min="2" max="2" width="19" bestFit="1" customWidth="1"/>
    <col min="3" max="5" width="16.265625" bestFit="1" customWidth="1"/>
    <col min="6" max="6" width="17.3984375" bestFit="1" customWidth="1"/>
    <col min="7" max="9" width="16.265625" bestFit="1" customWidth="1"/>
    <col min="10" max="10" width="17.3984375" bestFit="1" customWidth="1"/>
    <col min="11" max="13" width="16.265625" bestFit="1" customWidth="1"/>
    <col min="14" max="14" width="17.3984375" bestFit="1" customWidth="1"/>
    <col min="15" max="17" width="16.265625" bestFit="1" customWidth="1"/>
    <col min="18" max="18" width="17.3984375" bestFit="1" customWidth="1"/>
    <col min="19" max="21" width="16.265625" bestFit="1" customWidth="1"/>
    <col min="22" max="22" width="17.3984375" bestFit="1" customWidth="1"/>
    <col min="23" max="25" width="16.265625" bestFit="1" customWidth="1"/>
    <col min="26" max="26" width="17.3984375" bestFit="1" customWidth="1"/>
    <col min="27" max="27" width="16.265625" bestFit="1" customWidth="1"/>
    <col min="28" max="32" width="17.3984375" bestFit="1" customWidth="1"/>
    <col min="33" max="51" width="12.73046875" customWidth="1"/>
    <col min="52" max="98" width="0" style="47" hidden="1" customWidth="1"/>
    <col min="99" max="16384" width="12.73046875" style="47" hidden="1"/>
  </cols>
  <sheetData>
    <row r="1" spans="1:98" x14ac:dyDescent="0.4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98" s="138" customFormat="1" ht="18" x14ac:dyDescent="0.55000000000000004">
      <c r="A2" s="148" t="s">
        <v>48</v>
      </c>
      <c r="B2" s="149" t="s">
        <v>49</v>
      </c>
      <c r="C2" s="149" t="s">
        <v>50</v>
      </c>
      <c r="D2" s="149" t="s">
        <v>51</v>
      </c>
      <c r="E2" s="149" t="s">
        <v>52</v>
      </c>
      <c r="F2" s="149" t="s">
        <v>53</v>
      </c>
      <c r="G2" s="149" t="s">
        <v>54</v>
      </c>
      <c r="H2" s="149" t="s">
        <v>55</v>
      </c>
      <c r="I2" s="149" t="s">
        <v>56</v>
      </c>
      <c r="J2" s="149" t="s">
        <v>57</v>
      </c>
      <c r="K2" s="149" t="s">
        <v>58</v>
      </c>
      <c r="L2" s="149" t="s">
        <v>59</v>
      </c>
      <c r="M2" s="149" t="s">
        <v>60</v>
      </c>
      <c r="N2" s="149" t="s">
        <v>61</v>
      </c>
      <c r="O2" s="149" t="s">
        <v>62</v>
      </c>
      <c r="P2" s="149" t="s">
        <v>63</v>
      </c>
      <c r="Q2" s="149" t="s">
        <v>64</v>
      </c>
      <c r="R2" s="149" t="s">
        <v>65</v>
      </c>
      <c r="S2" s="149" t="s">
        <v>66</v>
      </c>
      <c r="T2" s="149" t="s">
        <v>67</v>
      </c>
      <c r="U2" s="149" t="s">
        <v>68</v>
      </c>
      <c r="V2" s="149" t="s">
        <v>69</v>
      </c>
      <c r="W2" s="149" t="s">
        <v>70</v>
      </c>
      <c r="X2" s="149" t="s">
        <v>71</v>
      </c>
      <c r="Y2" s="149" t="s">
        <v>72</v>
      </c>
      <c r="Z2" s="149" t="s">
        <v>73</v>
      </c>
      <c r="AA2" s="149" t="s">
        <v>74</v>
      </c>
      <c r="AB2" s="149" t="s">
        <v>75</v>
      </c>
      <c r="AC2" s="149" t="s">
        <v>76</v>
      </c>
      <c r="AD2" s="149" t="s">
        <v>77</v>
      </c>
      <c r="AE2" s="149" t="s">
        <v>78</v>
      </c>
      <c r="AF2" s="149" t="s">
        <v>273</v>
      </c>
      <c r="AG2" s="149" t="s">
        <v>277</v>
      </c>
      <c r="AH2" s="149" t="s">
        <v>278</v>
      </c>
      <c r="AI2" s="149" t="s">
        <v>279</v>
      </c>
      <c r="AJ2" s="149" t="s">
        <v>280</v>
      </c>
      <c r="AK2" s="149" t="s">
        <v>281</v>
      </c>
      <c r="AL2" s="149" t="s">
        <v>282</v>
      </c>
      <c r="AM2" s="149" t="s">
        <v>283</v>
      </c>
      <c r="AN2" s="149" t="s">
        <v>284</v>
      </c>
      <c r="AO2" s="149" t="s">
        <v>285</v>
      </c>
      <c r="AP2" s="149" t="s">
        <v>286</v>
      </c>
      <c r="AQ2" s="149" t="s">
        <v>287</v>
      </c>
      <c r="AR2" s="149" t="s">
        <v>288</v>
      </c>
      <c r="AS2" s="149" t="s">
        <v>289</v>
      </c>
      <c r="AT2" s="149" t="s">
        <v>290</v>
      </c>
      <c r="AU2" s="149" t="s">
        <v>291</v>
      </c>
      <c r="AV2" s="149" t="s">
        <v>292</v>
      </c>
      <c r="AW2" s="149" t="s">
        <v>293</v>
      </c>
      <c r="AX2" s="149" t="s">
        <v>294</v>
      </c>
      <c r="AY2" s="149" t="s">
        <v>295</v>
      </c>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row>
    <row r="3" spans="1:98" s="138" customFormat="1" x14ac:dyDescent="0.45">
      <c r="A3" s="144" t="s">
        <v>79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row>
    <row r="4" spans="1:98" s="138" customFormat="1" x14ac:dyDescent="0.45">
      <c r="A4" s="136" t="str">
        <f>Dashboard_2!B11</f>
        <v>Concrete cutting ($)</v>
      </c>
      <c r="B4" s="137">
        <f>Dashboard_2!$H$11*Dashboard_2!$H$12</f>
        <v>0</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98" s="138" customFormat="1" x14ac:dyDescent="0.45">
      <c r="A5" s="136" t="str">
        <f>Dashboard_2!B13</f>
        <v>Supply ($)</v>
      </c>
      <c r="B5" s="137">
        <f>Dashboard_2!$H$6*Dashboard_2!H13</f>
        <v>10511.544417659999</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98" s="138" customFormat="1" x14ac:dyDescent="0.45">
      <c r="A6" s="136" t="str">
        <f>Dashboard_2!B19</f>
        <v>Tree installation ($)</v>
      </c>
      <c r="B6" s="137">
        <f>Dashboard_2!$H$6*SUM(Dashboard_2!H19)</f>
        <v>0</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98" s="138" customFormat="1" x14ac:dyDescent="0.45">
      <c r="A7" s="136" t="str">
        <f>Dashboard_2!B20</f>
        <v>Unbundled installation</v>
      </c>
      <c r="B7" s="137">
        <f>IF(B6=0,(Dashboard_2!H6/Dashboard_2!H22)*SUM(Dashboard_2!H21:H23),0)</f>
        <v>2433.3333333333335</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98" s="138" customFormat="1" x14ac:dyDescent="0.45">
      <c r="A8" s="136" t="str">
        <f>Dashboard_2!B16</f>
        <v>Mulch cost ($/m3)</v>
      </c>
      <c r="B8" s="137">
        <f>Dashboard_2!$H$6*Dashboard_2!H16*Dashboard_2!H17</f>
        <v>549.46862696699998</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98" s="138" customFormat="1" x14ac:dyDescent="0.45">
      <c r="A9" s="136" t="str">
        <f>Dashboard_2!B18</f>
        <v>Stakes and ties ($)</v>
      </c>
      <c r="B9" s="137">
        <f>Dashboard_2!$H$6*Dashboard_2!H18</f>
        <v>7019.9999999999991</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98" s="138" customFormat="1" x14ac:dyDescent="0.45">
      <c r="A10" s="138" t="s">
        <v>80</v>
      </c>
      <c r="B10" s="137">
        <f>Dashboard_2!H8*Dashboard_2!H9</f>
        <v>0</v>
      </c>
      <c r="C10" s="139"/>
      <c r="D10" s="136"/>
      <c r="E10" s="136"/>
      <c r="F10" s="136"/>
      <c r="G10" s="136"/>
      <c r="H10" s="140">
        <f>IF(H41&gt;0,((Dashboard_2!$H$54+Dashboard_2!$H$55)*Dashboard_2!$H$6)*Dashboard_2!$H$9,0)</f>
        <v>4355</v>
      </c>
      <c r="I10" s="141">
        <f>H10</f>
        <v>4355</v>
      </c>
      <c r="J10" s="141">
        <f t="shared" ref="J10:AY10" si="0">I10</f>
        <v>4355</v>
      </c>
      <c r="K10" s="141">
        <f t="shared" si="0"/>
        <v>4355</v>
      </c>
      <c r="L10" s="141">
        <f t="shared" si="0"/>
        <v>4355</v>
      </c>
      <c r="M10" s="141">
        <f t="shared" si="0"/>
        <v>4355</v>
      </c>
      <c r="N10" s="141">
        <f t="shared" si="0"/>
        <v>4355</v>
      </c>
      <c r="O10" s="141">
        <f t="shared" si="0"/>
        <v>4355</v>
      </c>
      <c r="P10" s="141">
        <f t="shared" si="0"/>
        <v>4355</v>
      </c>
      <c r="Q10" s="141">
        <f t="shared" si="0"/>
        <v>4355</v>
      </c>
      <c r="R10" s="141">
        <f t="shared" si="0"/>
        <v>4355</v>
      </c>
      <c r="S10" s="141">
        <f t="shared" si="0"/>
        <v>4355</v>
      </c>
      <c r="T10" s="141">
        <f t="shared" si="0"/>
        <v>4355</v>
      </c>
      <c r="U10" s="141">
        <f t="shared" si="0"/>
        <v>4355</v>
      </c>
      <c r="V10" s="141">
        <f t="shared" si="0"/>
        <v>4355</v>
      </c>
      <c r="W10" s="141">
        <f t="shared" si="0"/>
        <v>4355</v>
      </c>
      <c r="X10" s="141">
        <f t="shared" si="0"/>
        <v>4355</v>
      </c>
      <c r="Y10" s="141">
        <f t="shared" si="0"/>
        <v>4355</v>
      </c>
      <c r="Z10" s="141">
        <f t="shared" si="0"/>
        <v>4355</v>
      </c>
      <c r="AA10" s="141">
        <f t="shared" si="0"/>
        <v>4355</v>
      </c>
      <c r="AB10" s="141">
        <f t="shared" si="0"/>
        <v>4355</v>
      </c>
      <c r="AC10" s="141">
        <f t="shared" si="0"/>
        <v>4355</v>
      </c>
      <c r="AD10" s="141">
        <f t="shared" si="0"/>
        <v>4355</v>
      </c>
      <c r="AE10" s="141">
        <f t="shared" si="0"/>
        <v>4355</v>
      </c>
      <c r="AF10" s="141">
        <f t="shared" si="0"/>
        <v>4355</v>
      </c>
      <c r="AG10" s="141">
        <f t="shared" si="0"/>
        <v>4355</v>
      </c>
      <c r="AH10" s="141">
        <f t="shared" si="0"/>
        <v>4355</v>
      </c>
      <c r="AI10" s="141">
        <f t="shared" si="0"/>
        <v>4355</v>
      </c>
      <c r="AJ10" s="141">
        <f t="shared" si="0"/>
        <v>4355</v>
      </c>
      <c r="AK10" s="141">
        <f t="shared" si="0"/>
        <v>4355</v>
      </c>
      <c r="AL10" s="141">
        <f t="shared" si="0"/>
        <v>4355</v>
      </c>
      <c r="AM10" s="141">
        <f t="shared" si="0"/>
        <v>4355</v>
      </c>
      <c r="AN10" s="141">
        <f t="shared" si="0"/>
        <v>4355</v>
      </c>
      <c r="AO10" s="141">
        <f t="shared" si="0"/>
        <v>4355</v>
      </c>
      <c r="AP10" s="141">
        <f t="shared" si="0"/>
        <v>4355</v>
      </c>
      <c r="AQ10" s="141">
        <f t="shared" si="0"/>
        <v>4355</v>
      </c>
      <c r="AR10" s="141">
        <f t="shared" si="0"/>
        <v>4355</v>
      </c>
      <c r="AS10" s="141">
        <f t="shared" si="0"/>
        <v>4355</v>
      </c>
      <c r="AT10" s="141">
        <f t="shared" si="0"/>
        <v>4355</v>
      </c>
      <c r="AU10" s="141">
        <f t="shared" si="0"/>
        <v>4355</v>
      </c>
      <c r="AV10" s="141">
        <f t="shared" si="0"/>
        <v>4355</v>
      </c>
      <c r="AW10" s="141">
        <f t="shared" si="0"/>
        <v>4355</v>
      </c>
      <c r="AX10" s="141">
        <f t="shared" si="0"/>
        <v>4355</v>
      </c>
      <c r="AY10" s="141">
        <f t="shared" si="0"/>
        <v>4355</v>
      </c>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row>
    <row r="11" spans="1:98" s="138" customFormat="1" x14ac:dyDescent="0.45">
      <c r="A11" s="136" t="str">
        <f>Input_Data!B15</f>
        <v>Soil cost ($/m3)</v>
      </c>
      <c r="B11" s="137">
        <f>Dashboard_2!H6*Dashboard_2!H15*Dashboard_2!H14</f>
        <v>1790.1</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98" s="138" customFormat="1" x14ac:dyDescent="0.45">
      <c r="A12" s="136" t="str">
        <f>Input_Data!B13</f>
        <v>Tree protection fencing ($)</v>
      </c>
      <c r="B12" s="134">
        <f>Dashboard_2!H39</f>
        <v>250</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98" s="138" customFormat="1" x14ac:dyDescent="0.45">
      <c r="A13" s="136" t="str">
        <f>Input_Data!B19</f>
        <v>Traffic control cost ($)</v>
      </c>
      <c r="B13" s="134">
        <f>Dashboard_2!H40</f>
        <v>0</v>
      </c>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98" s="138" customFormat="1" x14ac:dyDescent="0.45">
      <c r="A14" s="136" t="s">
        <v>251</v>
      </c>
      <c r="B14" s="142">
        <f>Dashboard_2!H42*Dashboard_2!H41</f>
        <v>0</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98" s="138" customFormat="1" x14ac:dyDescent="0.45">
      <c r="A15" s="136" t="s">
        <v>257</v>
      </c>
      <c r="B15" s="142">
        <f>Dashboard_2!H27*Dashboard_2!H28</f>
        <v>0</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row>
    <row r="16" spans="1:98" s="138" customFormat="1" x14ac:dyDescent="0.45">
      <c r="A16" s="198" t="s">
        <v>81</v>
      </c>
      <c r="B16" s="199">
        <f>SUM(B4:B15,B29)</f>
        <v>22554.446377960332</v>
      </c>
      <c r="C16" s="199">
        <f t="shared" ref="C16:AY16" si="1">SUM(C4:C15)</f>
        <v>0</v>
      </c>
      <c r="D16" s="199">
        <f t="shared" si="1"/>
        <v>0</v>
      </c>
      <c r="E16" s="199">
        <f t="shared" si="1"/>
        <v>0</v>
      </c>
      <c r="F16" s="199">
        <f t="shared" si="1"/>
        <v>0</v>
      </c>
      <c r="G16" s="199">
        <f t="shared" si="1"/>
        <v>0</v>
      </c>
      <c r="H16" s="199">
        <f t="shared" si="1"/>
        <v>4355</v>
      </c>
      <c r="I16" s="199">
        <f t="shared" si="1"/>
        <v>4355</v>
      </c>
      <c r="J16" s="199">
        <f t="shared" si="1"/>
        <v>4355</v>
      </c>
      <c r="K16" s="199">
        <f t="shared" si="1"/>
        <v>4355</v>
      </c>
      <c r="L16" s="199">
        <f t="shared" si="1"/>
        <v>4355</v>
      </c>
      <c r="M16" s="199">
        <f t="shared" si="1"/>
        <v>4355</v>
      </c>
      <c r="N16" s="199">
        <f t="shared" si="1"/>
        <v>4355</v>
      </c>
      <c r="O16" s="199">
        <f t="shared" si="1"/>
        <v>4355</v>
      </c>
      <c r="P16" s="199">
        <f t="shared" si="1"/>
        <v>4355</v>
      </c>
      <c r="Q16" s="199">
        <f t="shared" si="1"/>
        <v>4355</v>
      </c>
      <c r="R16" s="199">
        <f t="shared" si="1"/>
        <v>4355</v>
      </c>
      <c r="S16" s="199">
        <f t="shared" si="1"/>
        <v>4355</v>
      </c>
      <c r="T16" s="199">
        <f t="shared" si="1"/>
        <v>4355</v>
      </c>
      <c r="U16" s="199">
        <f t="shared" si="1"/>
        <v>4355</v>
      </c>
      <c r="V16" s="199">
        <f t="shared" si="1"/>
        <v>4355</v>
      </c>
      <c r="W16" s="199">
        <f t="shared" si="1"/>
        <v>4355</v>
      </c>
      <c r="X16" s="199">
        <f t="shared" si="1"/>
        <v>4355</v>
      </c>
      <c r="Y16" s="199">
        <f t="shared" si="1"/>
        <v>4355</v>
      </c>
      <c r="Z16" s="199">
        <f t="shared" si="1"/>
        <v>4355</v>
      </c>
      <c r="AA16" s="199">
        <f t="shared" si="1"/>
        <v>4355</v>
      </c>
      <c r="AB16" s="199">
        <f t="shared" si="1"/>
        <v>4355</v>
      </c>
      <c r="AC16" s="199">
        <f t="shared" si="1"/>
        <v>4355</v>
      </c>
      <c r="AD16" s="199">
        <f t="shared" si="1"/>
        <v>4355</v>
      </c>
      <c r="AE16" s="199">
        <f t="shared" si="1"/>
        <v>4355</v>
      </c>
      <c r="AF16" s="199">
        <f t="shared" si="1"/>
        <v>4355</v>
      </c>
      <c r="AG16" s="199">
        <f t="shared" si="1"/>
        <v>4355</v>
      </c>
      <c r="AH16" s="199">
        <f t="shared" si="1"/>
        <v>4355</v>
      </c>
      <c r="AI16" s="199">
        <f t="shared" si="1"/>
        <v>4355</v>
      </c>
      <c r="AJ16" s="199">
        <f t="shared" si="1"/>
        <v>4355</v>
      </c>
      <c r="AK16" s="199">
        <f t="shared" si="1"/>
        <v>4355</v>
      </c>
      <c r="AL16" s="199">
        <f t="shared" si="1"/>
        <v>4355</v>
      </c>
      <c r="AM16" s="199">
        <f t="shared" si="1"/>
        <v>4355</v>
      </c>
      <c r="AN16" s="199">
        <f t="shared" si="1"/>
        <v>4355</v>
      </c>
      <c r="AO16" s="199">
        <f t="shared" si="1"/>
        <v>4355</v>
      </c>
      <c r="AP16" s="199">
        <f t="shared" si="1"/>
        <v>4355</v>
      </c>
      <c r="AQ16" s="199">
        <f t="shared" si="1"/>
        <v>4355</v>
      </c>
      <c r="AR16" s="199">
        <f t="shared" si="1"/>
        <v>4355</v>
      </c>
      <c r="AS16" s="199">
        <f t="shared" si="1"/>
        <v>4355</v>
      </c>
      <c r="AT16" s="199">
        <f t="shared" si="1"/>
        <v>4355</v>
      </c>
      <c r="AU16" s="199">
        <f t="shared" si="1"/>
        <v>4355</v>
      </c>
      <c r="AV16" s="199">
        <f t="shared" si="1"/>
        <v>4355</v>
      </c>
      <c r="AW16" s="199">
        <f t="shared" si="1"/>
        <v>4355</v>
      </c>
      <c r="AX16" s="199">
        <f t="shared" si="1"/>
        <v>4355</v>
      </c>
      <c r="AY16" s="199">
        <f t="shared" si="1"/>
        <v>4355</v>
      </c>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row>
    <row r="17" spans="1:98" s="138" customFormat="1" x14ac:dyDescent="0.45">
      <c r="A17" s="136"/>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row>
    <row r="18" spans="1:98" s="138" customFormat="1" x14ac:dyDescent="0.45">
      <c r="A18" s="144" t="s">
        <v>135</v>
      </c>
      <c r="B18" s="168"/>
      <c r="C18" s="168"/>
      <c r="D18" s="186"/>
      <c r="E18" s="186"/>
      <c r="F18" s="186"/>
      <c r="G18" s="186"/>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row>
    <row r="19" spans="1:98" s="138" customFormat="1" x14ac:dyDescent="0.45">
      <c r="A19" s="136" t="s">
        <v>255</v>
      </c>
      <c r="B19" s="134">
        <f>Dashboard_2!H24*Dashboard_2!H25*Dashboard_2!H6</f>
        <v>4800</v>
      </c>
      <c r="C19" s="134"/>
      <c r="D19" s="134"/>
      <c r="E19" s="134"/>
      <c r="F19" s="134"/>
      <c r="G19" s="134"/>
      <c r="H19" s="136"/>
      <c r="I19" s="136"/>
      <c r="J19" s="136"/>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row>
    <row r="20" spans="1:98" s="138" customFormat="1" x14ac:dyDescent="0.45">
      <c r="A20" s="136" t="s">
        <v>256</v>
      </c>
      <c r="B20" s="134"/>
      <c r="C20" s="134">
        <f>Dashboard_2!H24*Dashboard_2!H26*Dashboard_2!H6</f>
        <v>1600</v>
      </c>
      <c r="D20" s="134">
        <f>C20</f>
        <v>1600</v>
      </c>
      <c r="E20" s="134">
        <f t="shared" ref="E20:AY20" si="2">D20</f>
        <v>1600</v>
      </c>
      <c r="F20" s="134">
        <f t="shared" si="2"/>
        <v>1600</v>
      </c>
      <c r="G20" s="134">
        <f t="shared" si="2"/>
        <v>1600</v>
      </c>
      <c r="H20" s="134">
        <f t="shared" si="2"/>
        <v>1600</v>
      </c>
      <c r="I20" s="134">
        <f t="shared" si="2"/>
        <v>1600</v>
      </c>
      <c r="J20" s="134">
        <f t="shared" si="2"/>
        <v>1600</v>
      </c>
      <c r="K20" s="134">
        <f t="shared" si="2"/>
        <v>1600</v>
      </c>
      <c r="L20" s="134">
        <f t="shared" si="2"/>
        <v>1600</v>
      </c>
      <c r="M20" s="134">
        <f t="shared" si="2"/>
        <v>1600</v>
      </c>
      <c r="N20" s="134">
        <f t="shared" si="2"/>
        <v>1600</v>
      </c>
      <c r="O20" s="134">
        <f t="shared" si="2"/>
        <v>1600</v>
      </c>
      <c r="P20" s="134">
        <f t="shared" si="2"/>
        <v>1600</v>
      </c>
      <c r="Q20" s="134">
        <f t="shared" si="2"/>
        <v>1600</v>
      </c>
      <c r="R20" s="134">
        <f t="shared" si="2"/>
        <v>1600</v>
      </c>
      <c r="S20" s="134">
        <f t="shared" si="2"/>
        <v>1600</v>
      </c>
      <c r="T20" s="134">
        <f t="shared" si="2"/>
        <v>1600</v>
      </c>
      <c r="U20" s="134">
        <f t="shared" si="2"/>
        <v>1600</v>
      </c>
      <c r="V20" s="134">
        <f t="shared" si="2"/>
        <v>1600</v>
      </c>
      <c r="W20" s="134">
        <f t="shared" si="2"/>
        <v>1600</v>
      </c>
      <c r="X20" s="134">
        <f t="shared" si="2"/>
        <v>1600</v>
      </c>
      <c r="Y20" s="134">
        <f t="shared" si="2"/>
        <v>1600</v>
      </c>
      <c r="Z20" s="134">
        <f t="shared" si="2"/>
        <v>1600</v>
      </c>
      <c r="AA20" s="134">
        <f t="shared" si="2"/>
        <v>1600</v>
      </c>
      <c r="AB20" s="134">
        <f t="shared" si="2"/>
        <v>1600</v>
      </c>
      <c r="AC20" s="134">
        <f t="shared" si="2"/>
        <v>1600</v>
      </c>
      <c r="AD20" s="134">
        <f t="shared" si="2"/>
        <v>1600</v>
      </c>
      <c r="AE20" s="134">
        <f t="shared" si="2"/>
        <v>1600</v>
      </c>
      <c r="AF20" s="134">
        <f t="shared" si="2"/>
        <v>1600</v>
      </c>
      <c r="AG20" s="134">
        <f t="shared" si="2"/>
        <v>1600</v>
      </c>
      <c r="AH20" s="134">
        <f t="shared" si="2"/>
        <v>1600</v>
      </c>
      <c r="AI20" s="134">
        <f t="shared" si="2"/>
        <v>1600</v>
      </c>
      <c r="AJ20" s="134">
        <f t="shared" si="2"/>
        <v>1600</v>
      </c>
      <c r="AK20" s="134">
        <f t="shared" si="2"/>
        <v>1600</v>
      </c>
      <c r="AL20" s="134">
        <f t="shared" si="2"/>
        <v>1600</v>
      </c>
      <c r="AM20" s="134">
        <f t="shared" si="2"/>
        <v>1600</v>
      </c>
      <c r="AN20" s="134">
        <f t="shared" si="2"/>
        <v>1600</v>
      </c>
      <c r="AO20" s="134">
        <f t="shared" si="2"/>
        <v>1600</v>
      </c>
      <c r="AP20" s="134">
        <f t="shared" si="2"/>
        <v>1600</v>
      </c>
      <c r="AQ20" s="134">
        <f t="shared" si="2"/>
        <v>1600</v>
      </c>
      <c r="AR20" s="134">
        <f t="shared" si="2"/>
        <v>1600</v>
      </c>
      <c r="AS20" s="134">
        <f t="shared" si="2"/>
        <v>1600</v>
      </c>
      <c r="AT20" s="134">
        <f t="shared" si="2"/>
        <v>1600</v>
      </c>
      <c r="AU20" s="134">
        <f t="shared" si="2"/>
        <v>1600</v>
      </c>
      <c r="AV20" s="134">
        <f t="shared" si="2"/>
        <v>1600</v>
      </c>
      <c r="AW20" s="134">
        <f t="shared" si="2"/>
        <v>1600</v>
      </c>
      <c r="AX20" s="134">
        <f t="shared" si="2"/>
        <v>1600</v>
      </c>
      <c r="AY20" s="134">
        <f t="shared" si="2"/>
        <v>1600</v>
      </c>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row>
    <row r="21" spans="1:98" s="138" customFormat="1" x14ac:dyDescent="0.45">
      <c r="A21" s="136" t="s">
        <v>268</v>
      </c>
      <c r="B21" s="134">
        <f>Dashboard_2!H6*Dashboard_2!H44</f>
        <v>13299</v>
      </c>
      <c r="C21" s="134"/>
      <c r="D21" s="134"/>
      <c r="E21" s="134"/>
      <c r="F21" s="134"/>
      <c r="G21" s="134"/>
      <c r="H21" s="136"/>
      <c r="I21" s="136"/>
      <c r="J21" s="136"/>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row>
    <row r="22" spans="1:98" s="138" customFormat="1" x14ac:dyDescent="0.45">
      <c r="A22" s="136" t="s">
        <v>269</v>
      </c>
      <c r="B22" s="134"/>
      <c r="C22" s="134">
        <f>Dashboard_2!H6*Dashboard_2!H45</f>
        <v>3509.9999999999995</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row>
    <row r="23" spans="1:98" s="138" customFormat="1" x14ac:dyDescent="0.45">
      <c r="A23" s="136" t="s">
        <v>266</v>
      </c>
      <c r="B23" s="134"/>
      <c r="C23" s="134"/>
      <c r="D23" s="134">
        <f>Dashboard_2!H6*Dashboard_2!H46</f>
        <v>2632.4999999999995</v>
      </c>
      <c r="E23" s="134">
        <f>D23</f>
        <v>2632.4999999999995</v>
      </c>
      <c r="F23" s="134">
        <f t="shared" ref="F23:AE23" si="3">E23</f>
        <v>2632.4999999999995</v>
      </c>
      <c r="G23" s="134">
        <f t="shared" si="3"/>
        <v>2632.4999999999995</v>
      </c>
      <c r="H23" s="134">
        <f t="shared" si="3"/>
        <v>2632.4999999999995</v>
      </c>
      <c r="I23" s="134">
        <f t="shared" si="3"/>
        <v>2632.4999999999995</v>
      </c>
      <c r="J23" s="134">
        <f t="shared" si="3"/>
        <v>2632.4999999999995</v>
      </c>
      <c r="K23" s="134">
        <f t="shared" si="3"/>
        <v>2632.4999999999995</v>
      </c>
      <c r="L23" s="134">
        <f t="shared" si="3"/>
        <v>2632.4999999999995</v>
      </c>
      <c r="M23" s="134">
        <f t="shared" si="3"/>
        <v>2632.4999999999995</v>
      </c>
      <c r="N23" s="134">
        <f t="shared" si="3"/>
        <v>2632.4999999999995</v>
      </c>
      <c r="O23" s="134">
        <f t="shared" si="3"/>
        <v>2632.4999999999995</v>
      </c>
      <c r="P23" s="134">
        <f t="shared" si="3"/>
        <v>2632.4999999999995</v>
      </c>
      <c r="Q23" s="134">
        <f t="shared" si="3"/>
        <v>2632.4999999999995</v>
      </c>
      <c r="R23" s="134">
        <f t="shared" si="3"/>
        <v>2632.4999999999995</v>
      </c>
      <c r="S23" s="134">
        <f t="shared" si="3"/>
        <v>2632.4999999999995</v>
      </c>
      <c r="T23" s="134">
        <f t="shared" si="3"/>
        <v>2632.4999999999995</v>
      </c>
      <c r="U23" s="134">
        <f t="shared" si="3"/>
        <v>2632.4999999999995</v>
      </c>
      <c r="V23" s="134">
        <f t="shared" si="3"/>
        <v>2632.4999999999995</v>
      </c>
      <c r="W23" s="134">
        <f t="shared" si="3"/>
        <v>2632.4999999999995</v>
      </c>
      <c r="X23" s="134">
        <f t="shared" si="3"/>
        <v>2632.4999999999995</v>
      </c>
      <c r="Y23" s="134">
        <f t="shared" si="3"/>
        <v>2632.4999999999995</v>
      </c>
      <c r="Z23" s="134">
        <f t="shared" si="3"/>
        <v>2632.4999999999995</v>
      </c>
      <c r="AA23" s="134">
        <f t="shared" si="3"/>
        <v>2632.4999999999995</v>
      </c>
      <c r="AB23" s="134">
        <f t="shared" si="3"/>
        <v>2632.4999999999995</v>
      </c>
      <c r="AC23" s="134">
        <f t="shared" si="3"/>
        <v>2632.4999999999995</v>
      </c>
      <c r="AD23" s="134">
        <f t="shared" si="3"/>
        <v>2632.4999999999995</v>
      </c>
      <c r="AE23" s="134">
        <f t="shared" si="3"/>
        <v>2632.4999999999995</v>
      </c>
      <c r="AF23" s="134">
        <f>AE23</f>
        <v>2632.4999999999995</v>
      </c>
      <c r="AG23" s="134">
        <f t="shared" ref="AG23:AY23" si="4">AF23</f>
        <v>2632.4999999999995</v>
      </c>
      <c r="AH23" s="134">
        <f t="shared" si="4"/>
        <v>2632.4999999999995</v>
      </c>
      <c r="AI23" s="134">
        <f t="shared" si="4"/>
        <v>2632.4999999999995</v>
      </c>
      <c r="AJ23" s="134">
        <f t="shared" si="4"/>
        <v>2632.4999999999995</v>
      </c>
      <c r="AK23" s="134">
        <f t="shared" si="4"/>
        <v>2632.4999999999995</v>
      </c>
      <c r="AL23" s="134">
        <f t="shared" si="4"/>
        <v>2632.4999999999995</v>
      </c>
      <c r="AM23" s="134">
        <f t="shared" si="4"/>
        <v>2632.4999999999995</v>
      </c>
      <c r="AN23" s="134">
        <f t="shared" si="4"/>
        <v>2632.4999999999995</v>
      </c>
      <c r="AO23" s="134">
        <f t="shared" si="4"/>
        <v>2632.4999999999995</v>
      </c>
      <c r="AP23" s="134">
        <f t="shared" si="4"/>
        <v>2632.4999999999995</v>
      </c>
      <c r="AQ23" s="134">
        <f t="shared" si="4"/>
        <v>2632.4999999999995</v>
      </c>
      <c r="AR23" s="134">
        <f t="shared" si="4"/>
        <v>2632.4999999999995</v>
      </c>
      <c r="AS23" s="134">
        <f t="shared" si="4"/>
        <v>2632.4999999999995</v>
      </c>
      <c r="AT23" s="134">
        <f t="shared" si="4"/>
        <v>2632.4999999999995</v>
      </c>
      <c r="AU23" s="134">
        <f t="shared" si="4"/>
        <v>2632.4999999999995</v>
      </c>
      <c r="AV23" s="134">
        <f t="shared" si="4"/>
        <v>2632.4999999999995</v>
      </c>
      <c r="AW23" s="134">
        <f t="shared" si="4"/>
        <v>2632.4999999999995</v>
      </c>
      <c r="AX23" s="134">
        <f t="shared" si="4"/>
        <v>2632.4999999999995</v>
      </c>
      <c r="AY23" s="134">
        <f t="shared" si="4"/>
        <v>2632.4999999999995</v>
      </c>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row>
    <row r="24" spans="1:98" s="138" customFormat="1" x14ac:dyDescent="0.45">
      <c r="A24" s="136" t="s">
        <v>267</v>
      </c>
      <c r="B24" s="134">
        <f>IF(Dashboard_2!$H$49=Data_Lists!M2,Dashboard_2!$H$47*Dashboard_2!$H$48,IF(Dashboard_2!$H$49=Data_Lists!M3,0,IF(Dashboard_2!$H$49=Data_Lists!M4,0,IF(Dashboard_2!$H$49=Data_Lists!M5,0,IF(Dashboard_2!$H$49=Data_Lists!M6,0,IF(Dashboard_2!$H$49=Data_Lists!M7,0))))))</f>
        <v>500</v>
      </c>
      <c r="C24" s="134">
        <f>IF(Dashboard_2!$H$49=Data_Lists!M2,Dashboard_2!$H$47*Dashboard_2!$H$48,IF(Dashboard_2!$H$49=Data_Lists!M3,Dashboard_2!$H$47*Dashboard_2!$H$48,IF(Dashboard_2!$H$49=Data_Lists!M4,0,IF(Dashboard_2!$H$49=Data_Lists!M5,0,IF(Dashboard_2!$H$49=Data_Lists!M6,0,IF(Dashboard_2!$H$49=Data_Lists!M7,0))))))</f>
        <v>500</v>
      </c>
      <c r="D24" s="134">
        <f>IF(Dashboard_2!$H$49=Data_Lists!M2,Dashboard_2!$H$47*Dashboard_2!$H$48,IF(Dashboard_2!$H$49=Data_Lists!M3,0,IF(Dashboard_2!$H$49=Data_Lists!M4,Dashboard_2!$H$47*Dashboard_2!$H$48,IF(Dashboard_2!$H$49=Data_Lists!M5,0,IF(Dashboard_2!$H$49=Data_Lists!M6,0,IF(Dashboard_2!$H$49=Data_Lists!M7,0))))))</f>
        <v>500</v>
      </c>
      <c r="E24" s="134">
        <f>IF(Dashboard_2!$H$49=Data_Lists!M2,Dashboard_2!$H$47*Dashboard_2!$H$48,IF(Dashboard_2!$H$49=Data_Lists!M3,Dashboard_2!$H$47*Dashboard_2!$H$48,IF(Dashboard_2!$H$49=Data_Lists!M4,0,IF(Dashboard_2!$H$49=Data_Lists!M5,Dashboard_2!$H$47*Dashboard_2!$H$48,IF(Dashboard_2!$H$49=Data_Lists!M6,0,IF(Dashboard_2!$H$49=Data_Lists!M7,0))))))</f>
        <v>500</v>
      </c>
      <c r="F24" s="134">
        <f>IF(Dashboard_2!$H$49=Data_Lists!M2,Dashboard_2!$H$47*Dashboard_2!$H$48,IF(Dashboard_2!$H$49=Data_Lists!M3,0,IF(Dashboard_2!$H$49=Data_Lists!M4,0,IF(Dashboard_2!$H$49=Data_Lists!M5,0,IF(Dashboard_2!$H$49=Data_Lists!M6,Dashboard_2!$H$47*Dashboard_2!$H$48,IF(Dashboard_2!$H$49=Data_Lists!M7,0))))))</f>
        <v>500</v>
      </c>
      <c r="G24" s="134">
        <f>IF(Dashboard_2!$H$49=Data_Lists!M2,Dashboard_2!$H$47*Dashboard_2!$H$48,IF(Dashboard_2!$H$49=Data_Lists!M3,Dashboard_2!$H$47*Dashboard_2!$H$48,IF(Dashboard_2!$H$49=Data_Lists!M4,Dashboard_2!$H$47*Dashboard_2!$H$48,IF(Dashboard_2!$H$49=Data_Lists!M5,0,IF(Dashboard_2!$H$49=Data_Lists!M6,0,IF(Dashboard_2!$H$49=Data_Lists!M7,0))))))</f>
        <v>500</v>
      </c>
      <c r="H24" s="134">
        <f>IF(Dashboard_2!$H$49=Data_Lists!M2,Dashboard_2!$H$47*Dashboard_2!$H$48,IF(Dashboard_2!$H$49=Data_Lists!M3,0,IF(Dashboard_2!$H$49=Data_Lists!M4,0,IF(Dashboard_2!$H$49=Data_Lists!M5,0,IF(Dashboard_2!$H$49=Data_Lists!M6,0,IF(Dashboard_2!$H$49=Data_Lists!M7,0))))))</f>
        <v>500</v>
      </c>
      <c r="I24" s="134">
        <f>IF(Dashboard_2!$H$49=Data_Lists!M2,Dashboard_2!$H$47*Dashboard_2!$H$48,IF(Dashboard_2!$H$49=Data_Lists!M3,Dashboard_2!$H$47*Dashboard_2!$H$48,IF(Dashboard_2!$H$49=Data_Lists!M4,0,IF(Dashboard_2!$H$49=Data_Lists!M5,Dashboard_2!$H$47*Dashboard_2!$H$48,IF(Dashboard_2!$H$49=Data_Lists!M6,0,IF(Dashboard_2!$H$49=Data_Lists!M7,0))))))</f>
        <v>500</v>
      </c>
      <c r="J24" s="134">
        <f>IF(Dashboard_2!$H$49=Data_Lists!M2,Dashboard_2!$H$47*Dashboard_2!$H$48,IF(Dashboard_2!$H$49=Data_Lists!M3,0,IF(Dashboard_2!$H$49=Data_Lists!M4,Dashboard_2!$H$47*Dashboard_2!$H$48,IF(Dashboard_2!$H$49=Data_Lists!M5,0,IF(Dashboard_2!$H$49=Data_Lists!M6,0,IF(Dashboard_2!$H$49=Data_Lists!M7,0))))))</f>
        <v>500</v>
      </c>
      <c r="K24" s="134">
        <f>IF(Dashboard_2!$H$49=Data_Lists!M2,Dashboard_2!$H$47*Dashboard_2!$H$48,IF(Dashboard_2!$H$49=Data_Lists!M3,0,IF(Dashboard_2!$H$49=Data_Lists!M4,0,IF(Dashboard_2!$H$49=Data_Lists!M5,0,IF(Dashboard_2!$H$49=Data_Lists!M6,0,IF(Dashboard_2!$H$49=Data_Lists!M7,0))))))</f>
        <v>500</v>
      </c>
      <c r="L24" s="134">
        <f>IF(Dashboard_2!$H$49=Data_Lists!M2,Dashboard_2!$H$47*Dashboard_2!$H$48,IF(Dashboard_2!$H$49=Data_Lists!M3,Dashboard_2!$H$47*Dashboard_2!$H$48,IF(Dashboard_2!$H$49=Data_Lists!M4,0,IF(Dashboard_2!$H$49=Data_Lists!M5,0,IF(Dashboard_2!$H$49=Data_Lists!M6,0,IF(Dashboard_2!$H$49=Data_Lists!M7,0))))))</f>
        <v>500</v>
      </c>
      <c r="M24" s="134">
        <f>IF(Dashboard_2!$H$49=Data_Lists!M2,Dashboard_2!$H$47*Dashboard_2!$H$48,IF(Dashboard_2!$H$49=Data_Lists!M3,0,IF(Dashboard_2!$H$49=Data_Lists!M4,Dashboard_2!$H$47*Dashboard_2!$H$48,IF(Dashboard_2!$H$49=Data_Lists!M5,0,IF(Dashboard_2!$H$49=Data_Lists!M6,0,IF(Dashboard_2!$H$49=Data_Lists!M7,0))))))</f>
        <v>500</v>
      </c>
      <c r="N24" s="134">
        <f>IF(Dashboard_2!$H$49=Data_Lists!M2,Dashboard_2!$H$47*Dashboard_2!$H$48,IF(Dashboard_2!$H$49=Data_Lists!M3,Dashboard_2!$H$47*Dashboard_2!$H$48,IF(Dashboard_2!$H$49=Data_Lists!M4,0,IF(Dashboard_2!$H$49=Data_Lists!M5,Dashboard_2!$H$47*Dashboard_2!$H$48,IF(Dashboard_2!$H$49=Data_Lists!M6,0,IF(Dashboard_2!$H$49=Data_Lists!M7,0))))))</f>
        <v>500</v>
      </c>
      <c r="O24" s="134">
        <f>IF(Dashboard_2!$H$49=Data_Lists!M2,Dashboard_2!$H$47*Dashboard_2!$H$48,IF(Dashboard_2!$H$49=Data_Lists!M3,0,IF(Dashboard_2!$H$49=Data_Lists!M4,0,IF(Dashboard_2!$H$49=Data_Lists!M5,0,IF(Dashboard_2!$H$49=Data_Lists!M6,Dashboard_2!$H$47*Dashboard_2!$H$48,IF(Dashboard_2!$H$49=Data_Lists!M7,0))))))</f>
        <v>500</v>
      </c>
      <c r="P24" s="134">
        <f>IF(Dashboard_2!$H$49=Data_Lists!M2,Dashboard_2!$H$47*Dashboard_2!$H$48,IF(Dashboard_2!$H$49=Data_Lists!M3,Dashboard_2!$H$47*Dashboard_2!$H$48,IF(Dashboard_2!$H$49=Data_Lists!M4,Dashboard_2!$H$47*Dashboard_2!$H$48,IF(Dashboard_2!$H$49=Data_Lists!M5,0,IF(Dashboard_2!$H$49=Data_Lists!M6,0,IF(Dashboard_2!$H$49=Data_Lists!M7,0))))))</f>
        <v>500</v>
      </c>
      <c r="Q24" s="134">
        <f>IF(Dashboard_2!$H$49=Data_Lists!M2,Dashboard_2!$H$47*Dashboard_2!$H$48,IF(Dashboard_2!$H$49=Data_Lists!M3,0,IF(Dashboard_2!$H$49=Data_Lists!M4,0,IF(Dashboard_2!$H$49=Data_Lists!M5,0,IF(Dashboard_2!$H$49=Data_Lists!M6,0,IF(Dashboard_2!$H$49=Data_Lists!M7,0))))))</f>
        <v>500</v>
      </c>
      <c r="R24" s="134">
        <f>IF(Dashboard_2!$H$49=Data_Lists!M2,Dashboard_2!$H$47*Dashboard_2!$H$48,IF(Dashboard_2!$H$49=Data_Lists!M3,Dashboard_2!$H$47*Dashboard_2!$H$48,IF(Dashboard_2!$H$49=Data_Lists!M4,0,IF(Dashboard_2!$H$49=Data_Lists!M5,Dashboard_2!$H$47*Dashboard_2!$H$48,IF(Dashboard_2!$H$49=Data_Lists!M6,0,IF(Dashboard_2!$H$49=Data_Lists!M7,0))))))</f>
        <v>500</v>
      </c>
      <c r="S24" s="134">
        <f>IF(Dashboard_2!$H$49=Data_Lists!M2,Dashboard_2!$H$47*Dashboard_2!$H$48,IF(Dashboard_2!$H$49=Data_Lists!M3,0,IF(Dashboard_2!$H$49=Data_Lists!M4,Dashboard_2!$H$47*Dashboard_2!$H$48,IF(Dashboard_2!$H$49=Data_Lists!M5,0,IF(Dashboard_2!$H$49=Data_Lists!M6,0,IF(Dashboard_2!$H$49=Data_Lists!M7,0))))))</f>
        <v>500</v>
      </c>
      <c r="T24" s="134">
        <f>IF(Dashboard_2!$H$49=Data_Lists!M2,Dashboard_2!$H$47*Dashboard_2!$H$48,IF(Dashboard_2!$H$49=Data_Lists!M3,Dashboard_2!$H$47*Dashboard_2!$H$48,IF(Dashboard_2!$H$49=Data_Lists!M4,0,IF(Dashboard_2!$H$49=Data_Lists!M5,0,IF(Dashboard_2!$H$49=Data_Lists!M6,Dashboard_2!$H$47*Dashboard_2!$H$48,IF(Dashboard_2!$H$49=Data_Lists!M7,0))))))</f>
        <v>500</v>
      </c>
      <c r="U24" s="134">
        <f>IF(Dashboard_2!$H$49=Data_Lists!M2,Dashboard_2!$H$47*Dashboard_2!$H$48,IF(Dashboard_2!$H$49=Data_Lists!M3,0,IF(Dashboard_2!$H$49=Data_Lists!M4,0,IF(Dashboard_2!$H$49=Data_Lists!M5,0,IF(Dashboard_2!$H$49=Data_Lists!M6,0,IF(Dashboard_2!$H$49=Data_Lists!M7,0))))))</f>
        <v>500</v>
      </c>
      <c r="V24" s="134">
        <f>IF(Dashboard_2!$H$49=Data_Lists!M2,Dashboard_2!$H$47*Dashboard_2!$H$48,IF(Dashboard_2!$H$49=Data_Lists!M3,Dashboard_2!$H$47*Dashboard_2!$H$48,IF(Dashboard_2!$H$49=Data_Lists!M4,Dashboard_2!$H$47*Dashboard_2!$H$48,IF(Dashboard_2!$H$49=Data_Lists!M5,Dashboard_2!$H$47*Dashboard_2!$H$48,IF(Dashboard_2!$H$49=Data_Lists!M6,0,IF(Dashboard_2!$H$49=Data_Lists!M7,0))))))</f>
        <v>500</v>
      </c>
      <c r="W24" s="134">
        <f>IF(Dashboard_2!$H$49=Data_Lists!M2,Dashboard_2!$H$47*Dashboard_2!$H$48,IF(Dashboard_2!$H$49=Data_Lists!M3,0,IF(Dashboard_2!$H$49=Data_Lists!M4,0,IF(Dashboard_2!$H$49=Data_Lists!M5,0,IF(Dashboard_2!$H$49=Data_Lists!M6,0,IF(Dashboard_2!$H$49=Data_Lists!M7,0))))))</f>
        <v>500</v>
      </c>
      <c r="X24" s="134">
        <f>IF(Dashboard_2!$H$49=Data_Lists!M2,Dashboard_2!$H$47*Dashboard_2!$H$48,IF(Dashboard_2!$H$49=Data_Lists!M3,Dashboard_2!$H$47*Dashboard_2!$H$48,IF(Dashboard_2!$H$49=Data_Lists!M4,0,IF(Dashboard_2!$H$49=Data_Lists!M5,0,IF(Dashboard_2!$H$49=Data_Lists!M6,0,IF(Dashboard_2!$H$49=Data_Lists!M7,0))))))</f>
        <v>500</v>
      </c>
      <c r="Y24" s="134">
        <f>IF(Dashboard_2!$H$49=Data_Lists!M2,Dashboard_2!$H$47*Dashboard_2!$H$48,IF(Dashboard_2!$H$49=Data_Lists!M3,0,IF(Dashboard_2!$H$49=Data_Lists!M4,Dashboard_2!$H$47*Dashboard_2!$H$48,IF(Dashboard_2!$H$49=Data_Lists!M5,0,IF(Dashboard_2!$H$49=Data_Lists!M6,Dashboard_2!$H$47*Dashboard_2!$H$48,IF(Dashboard_2!$H$49=Data_Lists!M7,0))))))</f>
        <v>500</v>
      </c>
      <c r="Z24" s="134">
        <f>IF(Dashboard_2!$H$49=Data_Lists!M2,Dashboard_2!$H$47*Dashboard_2!$H$48,IF(Dashboard_2!$H$49=Data_Lists!M3,Dashboard_2!$H$47*Dashboard_2!$H$48,IF(Dashboard_2!$H$49=Data_Lists!M4,0,IF(Dashboard_2!$H$49=Data_Lists!M5,Dashboard_2!$H$47*Dashboard_2!$H$48,IF(Dashboard_2!$H$49=Data_Lists!M6,0,IF(Dashboard_2!$H$49=Data_Lists!M7,0))))))</f>
        <v>500</v>
      </c>
      <c r="AA24" s="134">
        <f>IF(Dashboard_2!$H$49=Data_Lists!M2,Dashboard_2!$H$47*Dashboard_2!$H$48,IF(Dashboard_2!$H$49=Data_Lists!M3,0,IF(Dashboard_2!$H$49=Data_Lists!M4,0,IF(Dashboard_2!$H$49=Data_Lists!M5,0,IF(Dashboard_2!$H$49=Data_Lists!M6,0,IF(Dashboard_2!$H$49=Data_Lists!M7,0))))))</f>
        <v>500</v>
      </c>
      <c r="AB24" s="134">
        <f>IF(Dashboard_2!$H$49=Data_Lists!M2,Dashboard_2!$H$47*Dashboard_2!$H$48,IF(Dashboard_2!$H$49=Data_Lists!M3,Dashboard_2!$H$47*Dashboard_2!$H$48,IF(Dashboard_2!$H$49=Data_Lists!M4,Dashboard_2!$H$47*Dashboard_2!$H$48,IF(Dashboard_2!$H$49=Data_Lists!M5,0,IF(Dashboard_2!$H$49=Data_Lists!M6,0,IF(Dashboard_2!$H$49=Data_Lists!M7,0))))))</f>
        <v>500</v>
      </c>
      <c r="AC24" s="134">
        <f>IF(Dashboard_2!$H$49=Data_Lists!M2,Dashboard_2!$H$47*Dashboard_2!$H$48,IF(Dashboard_2!$H$49=Data_Lists!M3,0,IF(Dashboard_2!$H$49=Data_Lists!M4,0,IF(Dashboard_2!$H$49=Data_Lists!M5,0,IF(Dashboard_2!$H$49=Data_Lists!M6,0,IF(Dashboard_2!$H$49=Data_Lists!M7,0))))))</f>
        <v>500</v>
      </c>
      <c r="AD24" s="134">
        <f>IF(Dashboard_2!$H$49=Data_Lists!M2,Dashboard_2!$H$47*Dashboard_2!$H$48,IF(Dashboard_2!$H$49=Data_Lists!M3,Dashboard_2!$H$47*Dashboard_2!$H$48,IF(Dashboard_2!$H$49=Data_Lists!M4,,IF(Dashboard_2!$H$49=Data_Lists!M5,Dashboard_2!$H$47*Dashboard_2!$H$48,IF(Dashboard_2!$H$49=Data_Lists!M6,Dashboard_2!$H$47*Dashboard_2!$H$48,IF(Dashboard_2!$H$49=Data_Lists!M7,0))))))</f>
        <v>500</v>
      </c>
      <c r="AE24" s="134">
        <f>IF(Dashboard_2!$H$49=Data_Lists!M2,Dashboard_2!$H$47*Dashboard_2!$H$48,IF(Dashboard_2!$H$49=Data_Lists!M3,0,IF(Dashboard_2!$H$49=Data_Lists!M4,Dashboard_2!$H$47*Dashboard_2!$H$48,IF(Dashboard_2!$H$49=Data_Lists!M5,0,IF(Dashboard_2!$H$49=Data_Lists!M6,0,IF(Dashboard_2!$H$49=Data_Lists!M7,0))))))</f>
        <v>500</v>
      </c>
      <c r="AF24" s="134">
        <f>IF(Dashboard_2!$H$49=Data_Lists!M2,Dashboard_2!$H$47*Dashboard_2!$H$48,IF(Dashboard_2!$H$49=Data_Lists!M3,Dashboard_2!$H$47*Dashboard_2!$H$48,IF(Dashboard_2!$H$49=Data_Lists!M4,0,IF(Dashboard_2!$H$49=Data_Lists!M5,0,IF(Dashboard_2!$H$49=Data_Lists!M6,0,IF(Dashboard_2!$H$49=Data_Lists!M7,0))))))</f>
        <v>500</v>
      </c>
      <c r="AG24" s="134">
        <f>IF(Dashboard_2!$H$49=Data_Lists!M2,Dashboard_2!$H$47*Dashboard_2!$H$48,IF(Dashboard_2!$H$49=Data_Lists!M3,0,IF(Dashboard_2!$H$49=Data_Lists!M4,0,IF(Dashboard_2!$H$49=Data_Lists!M5,0,IF(Dashboard_2!$H$49=Data_Lists!M6,0,IF(Dashboard_2!$H$49=Data_Lists!M7,0))))))</f>
        <v>500</v>
      </c>
      <c r="AH24" s="134">
        <f>IF(Dashboard_2!$H$49=Data_Lists!M2,Dashboard_2!$H$47*Dashboard_2!$H$48,IF(Dashboard_2!$H$49=Data_Lists!M3,Dashboard_2!$H$47*Dashboard_2!$H$48,IF(Dashboard_2!$H$49=Data_Lists!M4,Dashboard_2!$H$47*Dashboard_2!$H$48,IF(Dashboard_2!$H$49=Data_Lists!M5,Dashboard_2!$H$47*Dashboard_2!$H$48,IF(Dashboard_2!$H$49=Data_Lists!M6,0,IF(Dashboard_2!$H$49=Data_Lists!M7,0))))))</f>
        <v>500</v>
      </c>
      <c r="AI24" s="134">
        <f>IF(Dashboard_2!$H$49=Data_Lists!M2,Dashboard_2!$H$47*Dashboard_2!$H$48,IF(Dashboard_2!$H$49=Data_Lists!M3,0,IF(Dashboard_2!$H$49=Data_Lists!M4,0,IF(Dashboard_2!$H$49=Data_Lists!M5,0,IF(Dashboard_2!$H$49=Data_Lists!M6,Dashboard_2!$H$47*Dashboard_2!$H$48,IF(Dashboard_2!$H$49=Data_Lists!M7,0))))))</f>
        <v>500</v>
      </c>
      <c r="AJ24" s="134">
        <f>IF(Dashboard_2!$H$49=Data_Lists!M2,Dashboard_2!$H$47*Dashboard_2!$H$48,IF(Dashboard_2!$H$49=Data_Lists!M3,Dashboard_2!$H$47*Dashboard_2!$H$48,IF(Dashboard_2!$H$49=Data_Lists!M4,0,IF(Dashboard_2!$H$49=Data_Lists!M5,0,IF(Dashboard_2!$H$49=Data_Lists!M6,0,IF(Dashboard_2!$H$49=Data_Lists!M7,0))))))</f>
        <v>500</v>
      </c>
      <c r="AK24" s="134">
        <f>IF(Dashboard_2!$H$49=Data_Lists!M2,Dashboard_2!$H$47*Dashboard_2!$H$48,IF(Dashboard_2!$H$49=Data_Lists!M3,0,IF(Dashboard_2!$H$49=Data_Lists!M4,Dashboard_2!$H$47*Dashboard_2!$H$48,IF(Dashboard_2!$H$49=Data_Lists!M5,0,IF(Dashboard_2!$H$49=Data_Lists!M6,0,IF(Dashboard_2!$H$49=Data_Lists!M7,0))))))</f>
        <v>500</v>
      </c>
      <c r="AL24" s="134">
        <f>IF(Dashboard_2!$H$49=Data_Lists!M2,Dashboard_2!$H$47*Dashboard_2!$H$48,IF(Dashboard_2!$H$49=Data_Lists!M3,Dashboard_2!$H$47*Dashboard_2!$H$48,IF(Dashboard_2!$H$49=Data_Lists!M4,0,IF(Dashboard_2!$H$49=Data_Lists!M5,Dashboard_2!$H$47*Dashboard_2!$H$48,IF(Dashboard_2!$H$49=Data_Lists!M6,0,IF(Dashboard_2!$H$49=Data_Lists!M7,0))))))</f>
        <v>500</v>
      </c>
      <c r="AM24" s="134">
        <f>IF(Dashboard_2!$H$49=Data_Lists!M2,Dashboard_2!$H$47*Dashboard_2!$H$48,IF(Dashboard_2!$H$49=Data_Lists!M3,0,IF(Dashboard_2!$H$49=Data_Lists!M4,0,IF(Dashboard_2!$H$49=Data_Lists!M5,0,IF(Dashboard_2!$H$49=Data_Lists!M6,0,IF(Dashboard_2!$H$49=Data_Lists!M7,0))))))</f>
        <v>500</v>
      </c>
      <c r="AN24" s="134">
        <f>IF(Dashboard_2!$H$49=Data_Lists!M2,Dashboard_2!$H$47*Dashboard_2!$H$48,IF(Dashboard_2!$H$49=Data_Lists!M3,Dashboard_2!$H$47*Dashboard_2!$H$48,IF(Dashboard_2!$H$49=Data_Lists!M4,Dashboard_2!$H$47*Dashboard_2!$H$48,IF(Dashboard_2!$H$49=Data_Lists!M5,0,IF(Dashboard_2!$H$49=Data_Lists!M6,Dashboard_2!$H$47*Dashboard_2!$H$48,IF(Dashboard_2!$H$49=Data_Lists!M7,0))))))</f>
        <v>500</v>
      </c>
      <c r="AO24" s="134">
        <f>IF(Dashboard_2!$H$49=Data_Lists!M2,Dashboard_2!$H$47*Dashboard_2!$H$48,IF(Dashboard_2!$H$49=Data_Lists!M3,0,IF(Dashboard_2!$H$49=Data_Lists!M4,0,IF(Dashboard_2!$H$49=Data_Lists!M5,0,IF(Dashboard_2!$H$49=Data_Lists!M6,0,IF(Dashboard_2!$H$49=Data_Lists!M7,0))))))</f>
        <v>500</v>
      </c>
      <c r="AP24" s="134">
        <f>IF(Dashboard_2!$H$49=Data_Lists!M2,Dashboard_2!$H$47*Dashboard_2!$H$48,IF(Dashboard_2!$H$49=Data_Lists!M3,Dashboard_2!$H$47*Dashboard_2!$H$48,IF(Dashboard_2!$H$49=Data_Lists!M4,0,IF(Dashboard_2!$H$49=Data_Lists!M5,0,IF(Dashboard_2!$H$49=Data_Lists!M6,0,IF(Dashboard_2!$H$49=Data_Lists!M7,0))))))</f>
        <v>500</v>
      </c>
      <c r="AQ24" s="134">
        <f>IF(Dashboard_2!$H$49=Data_Lists!M2,Dashboard_2!$H$47*Dashboard_2!$H$48,IF(Dashboard_2!$H$49=Data_Lists!M3,0,IF(Dashboard_2!$H$49=Data_Lists!M4,Dashboard_2!$H$47*Dashboard_2!$H$48,IF(Dashboard_2!$H$49=Data_Lists!M5,0,IF(Dashboard_2!$H$49=Data_Lists!M6,0,IF(Dashboard_2!$H$49=Data_Lists!M7,0))))))</f>
        <v>500</v>
      </c>
      <c r="AR24" s="134">
        <f>IF(Dashboard_2!$H$49=Data_Lists!M2,Dashboard_2!$H$47*Dashboard_2!$H$48,IF(Dashboard_2!$H$49=Data_Lists!M3,Dashboard_2!$H$47*Dashboard_2!$H$48,IF(Dashboard_2!$H$49=Data_Lists!M4,0,IF(Dashboard_2!$H$49=Data_Lists!M5,Dashboard_2!$H$47*Dashboard_2!$H$48,IF(Dashboard_2!$H$49=Data_Lists!M6,0,IF(Dashboard_2!$H$49=Data_Lists!M7,0))))))</f>
        <v>500</v>
      </c>
      <c r="AS24" s="134">
        <f>IF(Dashboard_2!$H$49=Data_Lists!M2,Dashboard_2!$H$47*Dashboard_2!$H$48,IF(Dashboard_2!$H$49=Data_Lists!M3,0,IF(Dashboard_2!$H$49=Data_Lists!M4,0,IF(Dashboard_2!$H$49=Data_Lists!M5,0,IF(Dashboard_2!$H$49=Data_Lists!M6,Dashboard_2!$H$47*Dashboard_2!$H$48,IF(Dashboard_2!$H$49=Data_Lists!M7,0))))))</f>
        <v>500</v>
      </c>
      <c r="AT24" s="134">
        <f>IF(Dashboard_2!$H$49=Data_Lists!M2,Dashboard_2!$H$47*Dashboard_2!$H$48,IF(Dashboard_2!$H$49=Data_Lists!M3,Dashboard_2!$H$47*Dashboard_2!$H$48,IF(Dashboard_2!$H$49=Data_Lists!M4,Dashboard_2!$H$47*Dashboard_2!$H$48,IF(Dashboard_2!$H$49=Data_Lists!M5,0,IF(Dashboard_2!$H$49=Data_Lists!M6,0,IF(Dashboard_2!$H$49=Data_Lists!M7,0))))))</f>
        <v>500</v>
      </c>
      <c r="AU24" s="134">
        <f>IF(Dashboard_2!$H$49=Data_Lists!M2,Dashboard_2!$H$47*Dashboard_2!$H$48,IF(Dashboard_2!$H$49=Data_Lists!M3,0,IF(Dashboard_2!$H$49=Data_Lists!M4,0,IF(Dashboard_2!$H$49=Data_Lists!M5,0,IF(Dashboard_2!$H$49=Data_Lists!M6,0,IF(Dashboard_2!$H$49=Data_Lists!M7,0))))))</f>
        <v>500</v>
      </c>
      <c r="AV24" s="134">
        <f>IF(Dashboard_2!$H$49=Data_Lists!M2,Dashboard_2!$H$47*Dashboard_2!$H$48,IF(Dashboard_2!$H$49=Data_Lists!M3,Dashboard_2!$H$47*Dashboard_2!$H$48,IF(Dashboard_2!$H$49=Data_Lists!M4,0,IF(Dashboard_2!$H$49=Data_Lists!M5,Dashboard_2!$H$47*Dashboard_2!$H$48,IF(Dashboard_2!$H$49=Data_Lists!M6,0,IF(Dashboard_2!$H$49=Data_Lists!M7,0))))))</f>
        <v>500</v>
      </c>
      <c r="AW24" s="134">
        <f>IF(Dashboard_2!$H$49=Data_Lists!M2,Dashboard_2!$H$47*Dashboard_2!$H$48,IF(Dashboard_2!$H$49=Data_Lists!M3,0,IF(Dashboard_2!$H$49=Data_Lists!M4,Dashboard_2!$H$47*Dashboard_2!$H$48,IF(Dashboard_2!$H$49=Data_Lists!M5,0,IF(Dashboard_2!$H$49=Data_Lists!M6,0,IF(Dashboard_2!$H$49=Data_Lists!M7,0))))))</f>
        <v>500</v>
      </c>
      <c r="AX24" s="134">
        <f>IF(Dashboard_2!$H$49=Data_Lists!M2,Dashboard_2!$H$47*Dashboard_2!$H$48,IF(Dashboard_2!$H$49=Data_Lists!M3,Dashboard_2!$H$47*Dashboard_2!$H$48,IF(Dashboard_2!$H$49=Data_Lists!M4,0,IF(Dashboard_2!$H$49=Data_Lists!M5,0,IF(Dashboard_2!$H$49=Data_Lists!M6,Dashboard_2!$H$47*Dashboard_2!$H$48,IF(Dashboard_2!$H$49=Data_Lists!M7,0))))))</f>
        <v>500</v>
      </c>
      <c r="AY24" s="134">
        <f>IF(Dashboard_2!$H$49=Data_Lists!M2,Dashboard_2!$H$47*Dashboard_2!$H$48,IF(Dashboard_2!$H$49=Data_Lists!M3,0,IF(Dashboard_2!$H$49=Data_Lists!M4,0,IF(Dashboard_2!$H$49=Data_Lists!M5,0,IF(Dashboard_2!$H$49=Data_Lists!M6,0,IF(Dashboard_2!$H$49=Data_Lists!M7,0))))))</f>
        <v>500</v>
      </c>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row>
    <row r="25" spans="1:98" s="138" customFormat="1" x14ac:dyDescent="0.45">
      <c r="A25" s="136" t="s">
        <v>258</v>
      </c>
      <c r="B25" s="134">
        <f>IF(Dashboard_2!$H$31=Data_Lists!M2,Dashboard_2!$H$29*Dashboard_2!$H$30,IF(Dashboard_2!$H$31=Data_Lists!M3,0,IF(Dashboard_2!$H$31=Data_Lists!M4,0,IF(Dashboard_2!$H$31=Data_Lists!M5,0,IF(Dashboard_2!$H$31=Data_Lists!M6,0,IF(Dashboard_2!$H$31=Data_Lists!M7,0))))))</f>
        <v>300</v>
      </c>
      <c r="C25" s="134">
        <f>IF(Dashboard_2!$H$31=Data_Lists!M2,Dashboard_2!$H$29*Dashboard_2!$H$30,IF(Dashboard_2!$H$31=Data_Lists!M3,Dashboard_2!$H$29*Dashboard_2!$H$30,IF(Dashboard_2!$H$31=Data_Lists!M4,0,IF(Dashboard_2!$H$31=Data_Lists!M5,0,IF(Dashboard_2!$H$31=Data_Lists!M6,0,IF(Dashboard_2!$H$31=Data_Lists!M7,0))))))</f>
        <v>300</v>
      </c>
      <c r="D25" s="134">
        <f>IF(Dashboard_2!$H$31=Data_Lists!M2,Dashboard_2!$H$29*Dashboard_2!$H$30,IF(Dashboard_2!$H$31=Data_Lists!M3,0,IF(Dashboard_2!$H$31=Data_Lists!M4,Dashboard_2!$H$29*Dashboard_2!$H$30,IF(Dashboard_2!$H$31=Data_Lists!M5,0,IF(Dashboard_2!$H$31=Data_Lists!M6,0,IF(Dashboard_2!$H$31=Data_Lists!M7,0))))))</f>
        <v>300</v>
      </c>
      <c r="E25" s="134">
        <f>IF(Dashboard_2!$H$31=Data_Lists!M2,Dashboard_2!$H$29*Dashboard_2!$H$30,IF(Dashboard_2!$H$31=Data_Lists!M3,Dashboard_2!$H$29*Dashboard_2!$H$30,IF(Dashboard_2!$H$31=Data_Lists!M4,0,IF(Dashboard_2!$H$31=Data_Lists!M5,Dashboard_2!$H$29*Dashboard_2!$H$30,IF(Dashboard_2!$H$31=Data_Lists!M6,0,IF(Dashboard_2!$H$31=Data_Lists!M7,0))))))</f>
        <v>300</v>
      </c>
      <c r="F25" s="134">
        <f>IF(Dashboard_2!$H$31=Data_Lists!M2,Dashboard_2!$H$29*Dashboard_2!$H$30,IF(Dashboard_2!$H$31=Data_Lists!M3,0,IF(Dashboard_2!$H$31=Data_Lists!M4,0,IF(Dashboard_2!$H$31=Data_Lists!M5,0,IF(Dashboard_2!$H$31=Data_Lists!M6,Dashboard_2!$H$29*Dashboard_2!$H$30,IF(Dashboard_2!$H$31=Data_Lists!M7,0))))))</f>
        <v>300</v>
      </c>
      <c r="G25" s="134">
        <f>IF(Dashboard_2!$H$31=Data_Lists!M2,Dashboard_2!$H$29*Dashboard_2!$H$30,IF(Dashboard_2!$H$31=Data_Lists!M3,Dashboard_2!$H$29*Dashboard_2!$H$30,IF(Dashboard_2!$H$31=Data_Lists!M4,Dashboard_2!$H$29*Dashboard_2!$H$30,IF(Dashboard_2!$H$31=Data_Lists!M5,0,IF(Dashboard_2!$H$31=Data_Lists!M6,0,IF(Dashboard_2!$H$31=Data_Lists!M7,0))))))</f>
        <v>300</v>
      </c>
      <c r="H25" s="134">
        <f>IF(Dashboard_2!$H$31=Data_Lists!M2,Dashboard_2!$H$29*Dashboard_2!$H$30,IF(Dashboard_2!$H$31=Data_Lists!M3,0,IF(Dashboard_2!$H$31=Data_Lists!M4,0,IF(Dashboard_2!$H$31=Data_Lists!M5,0,IF(Dashboard_2!$H$31=Data_Lists!M6,0,IF(Dashboard_2!$H$31=Data_Lists!M7,0))))))</f>
        <v>300</v>
      </c>
      <c r="I25" s="134">
        <f>IF(Dashboard_2!$H$31=Data_Lists!M2,Dashboard_2!$H$29*Dashboard_2!$H$30,IF(Dashboard_2!$H$31=Data_Lists!M3,Dashboard_2!$H$29*Dashboard_2!$H$30,IF(Dashboard_2!$H$31=Data_Lists!M4,0,IF(Dashboard_2!$H$31=Data_Lists!M5,Dashboard_2!$H$29*Dashboard_2!$H$30,IF(Dashboard_2!$H$31=Data_Lists!M6,0,IF(Dashboard_2!$H$31=Data_Lists!M7,0))))))</f>
        <v>300</v>
      </c>
      <c r="J25" s="134">
        <f>IF(Dashboard_2!$H$31=Data_Lists!M2,Dashboard_2!$H$29*Dashboard_2!$H$30,IF(Dashboard_2!$H$31=Data_Lists!M3,0,IF(Dashboard_2!$H$31=Data_Lists!M4,Dashboard_2!$H$29*Dashboard_2!$H$30,IF(Dashboard_2!$H$31=Data_Lists!M5,0,IF(Dashboard_2!$H$31=Data_Lists!M6,0,IF(Dashboard_2!$H$31=Data_Lists!M7,0))))))</f>
        <v>300</v>
      </c>
      <c r="K25" s="134">
        <f>IF(Dashboard_2!$H$31=Data_Lists!M2,Dashboard_2!$H$29*Dashboard_2!$H$30,IF(Dashboard_2!$H$31=Data_Lists!M3,0,IF(Dashboard_2!$H$31=Data_Lists!M4,0,IF(Dashboard_2!$H$31=Data_Lists!M5,0,IF(Dashboard_2!$H$31=Data_Lists!M6,0,IF(Dashboard_2!$H$31=Data_Lists!M7,0))))))</f>
        <v>300</v>
      </c>
      <c r="L25" s="134">
        <f>IF(Dashboard_2!$H$31=Data_Lists!M2,Dashboard_2!$H$29*Dashboard_2!$H$30,IF(Dashboard_2!$H$31=Data_Lists!M3,Dashboard_2!$H$29*Dashboard_2!$H$30,IF(Dashboard_2!$H$31=Data_Lists!M4,0,IF(Dashboard_2!$H$31=Data_Lists!M5,0,IF(Dashboard_2!$H$31=Data_Lists!M6,0,IF(Dashboard_2!$H$31=Data_Lists!M7,0))))))</f>
        <v>300</v>
      </c>
      <c r="M25" s="134">
        <f>IF(Dashboard_2!$H$31=Data_Lists!M2,Dashboard_2!$H$29*Dashboard_2!$H$30,IF(Dashboard_2!$H$31=Data_Lists!M3,0,IF(Dashboard_2!$H$31=Data_Lists!M4,Dashboard_2!$H$29*Dashboard_2!$H$30,IF(Dashboard_2!$H$31=Data_Lists!M5,0,IF(Dashboard_2!$H$31=Data_Lists!M6,0,IF(Dashboard_2!$H$31=Data_Lists!M7,0))))))</f>
        <v>300</v>
      </c>
      <c r="N25" s="134">
        <f>IF(Dashboard_2!$H$31=Data_Lists!M2,Dashboard_2!$H$29*Dashboard_2!$H$30,IF(Dashboard_2!$H$31=Data_Lists!M3,Dashboard_2!$H$29*Dashboard_2!$H$30,IF(Dashboard_2!$H$31=Data_Lists!M4,0,IF(Dashboard_2!$H$31=Data_Lists!M5,Dashboard_2!$H$29*Dashboard_2!$H$30,IF(Dashboard_2!$H$31=Data_Lists!M6,0,IF(Dashboard_2!$H$31=Data_Lists!M7,0))))))</f>
        <v>300</v>
      </c>
      <c r="O25" s="134">
        <f>IF(Dashboard_2!$H$31=Data_Lists!M2,Dashboard_2!$H$29*Dashboard_2!$H$30,IF(Dashboard_2!$H$31=Data_Lists!M3,0,IF(Dashboard_2!$H$31=Data_Lists!M4,0,IF(Dashboard_2!$H$31=Data_Lists!M5,0,IF(Dashboard_2!$H$31=Data_Lists!M6,Dashboard_2!$H$29*Dashboard_2!$H$30,IF(Dashboard_2!$H$31=Data_Lists!M7,0))))))</f>
        <v>300</v>
      </c>
      <c r="P25" s="134">
        <f>IF(Dashboard_2!$H$31=Data_Lists!M2,Dashboard_2!$H$29*Dashboard_2!$H$30,IF(Dashboard_2!$H$31=Data_Lists!M3,Dashboard_2!$H$29*Dashboard_2!$H$30,IF(Dashboard_2!$H$31=Data_Lists!M4,Dashboard_2!$H$29*Dashboard_2!$H$30,IF(Dashboard_2!$H$31=Data_Lists!M5,0,IF(Dashboard_2!$H$31=Data_Lists!M6,0,IF(Dashboard_2!$H$31=Data_Lists!M7,0))))))</f>
        <v>300</v>
      </c>
      <c r="Q25" s="134">
        <f>IF(Dashboard_2!$H$31=Data_Lists!M2,Dashboard_2!$H$29*Dashboard_2!$H$30,IF(Dashboard_2!$H$31=Data_Lists!M3,0,IF(Dashboard_2!$H$31=Data_Lists!M4,0,IF(Dashboard_2!$H$31=Data_Lists!M5,0,IF(Dashboard_2!$H$31=Data_Lists!M6,0,IF(Dashboard_2!$H$31=Data_Lists!M7,0))))))</f>
        <v>300</v>
      </c>
      <c r="R25" s="134">
        <f>IF(Dashboard_2!$H$31=Data_Lists!M2,Dashboard_2!$H$29*Dashboard_2!$H$30,IF(Dashboard_2!$H$31=Data_Lists!M3,Dashboard_2!$H$29*Dashboard_2!$H$30,IF(Dashboard_2!$H$31=Data_Lists!M4,0,IF(Dashboard_2!$H$31=Data_Lists!M5,Dashboard_2!$H$29*Dashboard_2!$H$30,IF(Dashboard_2!$H$31=Data_Lists!M6,0,IF(Dashboard_2!$H$31=Data_Lists!M7,0))))))</f>
        <v>300</v>
      </c>
      <c r="S25" s="134">
        <f>IF(Dashboard_2!$H$31=Data_Lists!M2,Dashboard_2!$H$29*Dashboard_2!$H$30,IF(Dashboard_2!$H$31=Data_Lists!M3,0,IF(Dashboard_2!$H$31=Data_Lists!M4,Dashboard_2!$H$29*Dashboard_2!$H$30,IF(Dashboard_2!$H$31=Data_Lists!M5,0,IF(Dashboard_2!$H$31=Data_Lists!M6,0,IF(Dashboard_2!$H$31=Data_Lists!M7,0))))))</f>
        <v>300</v>
      </c>
      <c r="T25" s="134">
        <f>IF(Dashboard_2!$H$31=Data_Lists!M2,Dashboard_2!$H$29*Dashboard_2!$H$30,IF(Dashboard_2!$H$31=Data_Lists!M3,Dashboard_2!$H$29*Dashboard_2!$H$30,IF(Dashboard_2!$H$31=Data_Lists!M4,0,IF(Dashboard_2!$H$31=Data_Lists!M5,0,IF(Dashboard_2!$H$31=Data_Lists!M6,Dashboard_2!$H$29*Dashboard_2!$H$30,IF(Dashboard_2!$H$31=Data_Lists!M7,0))))))</f>
        <v>300</v>
      </c>
      <c r="U25" s="134">
        <f>IF(Dashboard_2!$H$31=Data_Lists!M2,Dashboard_2!$H$29*Dashboard_2!$H$30,IF(Dashboard_2!$H$31=Data_Lists!M3,0,IF(Dashboard_2!$H$31=Data_Lists!M4,0,IF(Dashboard_2!$H$31=Data_Lists!M5,0,IF(Dashboard_2!$H$31=Data_Lists!M6,0,IF(Dashboard_2!$H$31=Data_Lists!M7,0))))))</f>
        <v>300</v>
      </c>
      <c r="V25" s="134">
        <f>IF(Dashboard_2!$H$31=Data_Lists!M2,Dashboard_2!$H$29*Dashboard_2!$H$30,IF(Dashboard_2!$H$31=Data_Lists!M3,Dashboard_2!$H$29*Dashboard_2!$H$30,IF(Dashboard_2!$H$31=Data_Lists!M4,Dashboard_2!$H$29*Dashboard_2!$H$30,IF(Dashboard_2!$H$31=Data_Lists!M5,Dashboard_2!$H$29*Dashboard_2!$H$30,IF(Dashboard_2!$H$31=Data_Lists!M6,0,IF(Dashboard_2!$H$31=Data_Lists!M7,0))))))</f>
        <v>300</v>
      </c>
      <c r="W25" s="134">
        <f>IF(Dashboard_2!$H$31=Data_Lists!M2,Dashboard_2!$H$29*Dashboard_2!$H$30,IF(Dashboard_2!$H$31=Data_Lists!M3,0,IF(Dashboard_2!$H$31=Data_Lists!M4,0,IF(Dashboard_2!$H$31=Data_Lists!M5,0,IF(Dashboard_2!$H$31=Data_Lists!M6,0,IF(Dashboard_2!$H$31=Data_Lists!M7,0))))))</f>
        <v>300</v>
      </c>
      <c r="X25" s="134">
        <f>IF(Dashboard_2!$H$31=Data_Lists!M2,Dashboard_2!$H$29*Dashboard_2!$H$30,IF(Dashboard_2!$H$31=Data_Lists!M3,Dashboard_2!$H$29*Dashboard_2!$H$30,IF(Dashboard_2!$H$31=Data_Lists!M4,0,IF(Dashboard_2!$H$31=Data_Lists!M5,0,IF(Dashboard_2!$H$31=Data_Lists!M6,0,IF(Dashboard_2!$H$31=Data_Lists!M7,0))))))</f>
        <v>300</v>
      </c>
      <c r="Y25" s="134">
        <f>IF(Dashboard_2!$H$31=Data_Lists!M2,Dashboard_2!$H$29*Dashboard_2!$H$30,IF(Dashboard_2!$H$31=Data_Lists!M3,0,IF(Dashboard_2!$H$31=Data_Lists!M4,Dashboard_2!$H$29*Dashboard_2!$H$30,IF(Dashboard_2!$H$31=Data_Lists!M5,0,IF(Dashboard_2!$H$31=Data_Lists!M6,Dashboard_2!$H$29*Dashboard_2!$H$30,IF(Dashboard_2!$H$31=Data_Lists!M7,0))))))</f>
        <v>300</v>
      </c>
      <c r="Z25" s="134">
        <f>IF(Dashboard_2!$H$31=Data_Lists!M2,Dashboard_2!$H$29*Dashboard_2!$H$30,IF(Dashboard_2!$H$31=Data_Lists!M3,Dashboard_2!$H$29*Dashboard_2!$H$30,IF(Dashboard_2!$H$31=Data_Lists!M4,0,IF(Dashboard_2!$H$31=Data_Lists!M5,Dashboard_2!$H$29*Dashboard_2!$H$30,IF(Dashboard_2!$H$31=Data_Lists!M6,0,IF(Dashboard_2!$H$31=Data_Lists!M7,0))))))</f>
        <v>300</v>
      </c>
      <c r="AA25" s="134">
        <f>IF(Dashboard_2!$H$31=Data_Lists!M2,Dashboard_2!$H$29*Dashboard_2!$H$30,IF(Dashboard_2!$H$31=Data_Lists!M3,0,IF(Dashboard_2!$H$31=Data_Lists!M4,0,IF(Dashboard_2!$H$31=Data_Lists!M5,0,IF(Dashboard_2!$H$31=Data_Lists!M6,0,IF(Dashboard_2!$H$31=Data_Lists!M7,0))))))</f>
        <v>300</v>
      </c>
      <c r="AB25" s="134">
        <f>IF(Dashboard_2!$H$31=Data_Lists!M2,Dashboard_2!$H$29*Dashboard_2!$H$30,IF(Dashboard_2!$H$31=Data_Lists!M3,Dashboard_2!$H$29*Dashboard_2!$H$30,IF(Dashboard_2!$H$31=Data_Lists!M4,Dashboard_2!$H$29*Dashboard_2!$H$30,IF(Dashboard_2!$H$31=Data_Lists!M5,0,IF(Dashboard_2!$H$31=Data_Lists!M6,0,IF(Dashboard_2!$H$31=Data_Lists!M7,0))))))</f>
        <v>300</v>
      </c>
      <c r="AC25" s="134">
        <f>IF(Dashboard_2!$H$31=Data_Lists!M2,Dashboard_2!$H$29*Dashboard_2!$H$30,IF(Dashboard_2!$H$31=Data_Lists!M3,0,IF(Dashboard_2!$H$31=Data_Lists!M4,0,IF(Dashboard_2!$H$31=Data_Lists!M5,0,IF(Dashboard_2!$H$31=Data_Lists!M6,0,IF(Dashboard_2!$H$31=Data_Lists!M7,0))))))</f>
        <v>300</v>
      </c>
      <c r="AD25" s="134">
        <f>IF(Dashboard_2!$H$31=Data_Lists!M2,Dashboard_2!$H$29*Dashboard_2!$H$30,IF(Dashboard_2!$H$31=Data_Lists!M3,Dashboard_2!$H$29*Dashboard_2!$H$30,IF(Dashboard_2!$H$31=Data_Lists!M4,,IF(Dashboard_2!$H$31=Data_Lists!M5,Dashboard_2!$H$29*Dashboard_2!$H$30,IF(Dashboard_2!$H$31=Data_Lists!M6,Dashboard_2!$H$29*Dashboard_2!$H$30,IF(Dashboard_2!$H$31=Data_Lists!M7,0))))))</f>
        <v>300</v>
      </c>
      <c r="AE25" s="134">
        <f>IF(Dashboard_2!$H$31=Data_Lists!M2,Dashboard_2!$H$29*Dashboard_2!$H$30,IF(Dashboard_2!$H$31=Data_Lists!M3,0,IF(Dashboard_2!$H$31=Data_Lists!M4,Dashboard_2!$H$29*Dashboard_2!$H$30,IF(Dashboard_2!$H$31=Data_Lists!M5,0,IF(Dashboard_2!$H$31=Data_Lists!M6,0,IF(Dashboard_2!$H$31=Data_Lists!M7,0))))))</f>
        <v>300</v>
      </c>
      <c r="AF25" s="134">
        <f>IF(Dashboard_2!$H$31=Data_Lists!M2,Dashboard_2!$H$29*Dashboard_2!$H$30,IF(Dashboard_2!$H$31=Data_Lists!M3,Dashboard_2!$H$29*Dashboard_2!$H$30,IF(Dashboard_2!$H$31=Data_Lists!M4,0,IF(Dashboard_2!$H$31=Data_Lists!M5,0,IF(Dashboard_2!$H$31=Data_Lists!M6,0,IF(Dashboard_2!$H$31=Data_Lists!M7,0))))))</f>
        <v>300</v>
      </c>
      <c r="AG25" s="134">
        <f>IF(Dashboard_2!$H$31=Data_Lists!M2,Dashboard_2!$H$29*Dashboard_2!$H$30,IF(Dashboard_2!$H$31=Data_Lists!M3,0,IF(Dashboard_2!$H$31=Data_Lists!M4,0,IF(Dashboard_2!$H$31=Data_Lists!M5,0,IF(Dashboard_2!$H$31=Data_Lists!M6,0,IF(Dashboard_2!$H$31=Data_Lists!M7,0))))))</f>
        <v>300</v>
      </c>
      <c r="AH25" s="134">
        <f>IF(Dashboard_2!$H$31=Data_Lists!M2,Dashboard_2!$H$29*Dashboard_2!$H$30,IF(Dashboard_2!$H$31=Data_Lists!M3,Dashboard_2!$H$29*Dashboard_2!$H$30,IF(Dashboard_2!$H$31=Data_Lists!M4,Dashboard_2!$H$29*Dashboard_2!$H$30,IF(Dashboard_2!$H$31=Data_Lists!M5,Dashboard_2!$H$29*Dashboard_2!$H$30,IF(Dashboard_2!$H$31=Data_Lists!M6,0,IF(Dashboard_2!$H$31=Data_Lists!M7,0))))))</f>
        <v>300</v>
      </c>
      <c r="AI25" s="134">
        <f>IF(Dashboard_2!$H$31=Data_Lists!M2,Dashboard_2!$H$29*Dashboard_2!$H$30,IF(Dashboard_2!$H$31=Data_Lists!M3,0,IF(Dashboard_2!$H$31=Data_Lists!M4,0,IF(Dashboard_2!$H$31=Data_Lists!M5,0,IF(Dashboard_2!$H$31=Data_Lists!M6,Dashboard_2!$H$29*Dashboard_2!$H$30,IF(Dashboard_2!$H$31=Data_Lists!M7,0))))))</f>
        <v>300</v>
      </c>
      <c r="AJ25" s="134">
        <f>IF(Dashboard_2!$H$31=Data_Lists!M2,Dashboard_2!$H$29*Dashboard_2!$H$30,IF(Dashboard_2!$H$31=Data_Lists!M3,Dashboard_2!$H$29*Dashboard_2!$H$30,IF(Dashboard_2!$H$31=Data_Lists!M4,0,IF(Dashboard_2!$H$31=Data_Lists!M5,0,IF(Dashboard_2!$H$31=Data_Lists!M6,0,IF(Dashboard_2!$H$31=Data_Lists!M7,0))))))</f>
        <v>300</v>
      </c>
      <c r="AK25" s="134">
        <f>IF(Dashboard_2!$H$31=Data_Lists!M2,Dashboard_2!$H$29*Dashboard_2!$H$30,IF(Dashboard_2!$H$31=Data_Lists!M3,0,IF(Dashboard_2!$H$31=Data_Lists!M4,Dashboard_2!$H$29*Dashboard_2!$H$30,IF(Dashboard_2!$H$31=Data_Lists!M5,0,IF(Dashboard_2!$H$31=Data_Lists!M6,0,IF(Dashboard_2!$H$31=Data_Lists!M7,0))))))</f>
        <v>300</v>
      </c>
      <c r="AL25" s="134">
        <f>IF(Dashboard_2!$H$31=Data_Lists!M2,Dashboard_2!$H$29*Dashboard_2!$H$30,IF(Dashboard_2!$H$31=Data_Lists!M3,Dashboard_2!$H$29*Dashboard_2!$H$30,IF(Dashboard_2!$H$31=Data_Lists!M4,0,IF(Dashboard_2!$H$31=Data_Lists!M5,Dashboard_2!$H$29*Dashboard_2!$H$30,IF(Dashboard_2!$H$31=Data_Lists!M6,0,IF(Dashboard_2!$H$31=Data_Lists!M7,0))))))</f>
        <v>300</v>
      </c>
      <c r="AM25" s="134">
        <f>IF(Dashboard_2!$H$31=Data_Lists!M2,Dashboard_2!$H$29*Dashboard_2!$H$30,IF(Dashboard_2!$H$31=Data_Lists!M3,0,IF(Dashboard_2!$H$31=Data_Lists!M4,0,IF(Dashboard_2!$H$31=Data_Lists!M5,0,IF(Dashboard_2!$H$31=Data_Lists!M6,0,IF(Dashboard_2!$H$31=Data_Lists!M7,0))))))</f>
        <v>300</v>
      </c>
      <c r="AN25" s="134">
        <f>IF(Dashboard_2!$H$31=Data_Lists!M2,Dashboard_2!$H$29*Dashboard_2!$H$30,IF(Dashboard_2!$H$31=Data_Lists!M3,Dashboard_2!$H$29*Dashboard_2!$H$30,IF(Dashboard_2!$H$31=Data_Lists!M4,Dashboard_2!$H$29*Dashboard_2!$H$30,IF(Dashboard_2!$H$31=Data_Lists!M5,0,IF(Dashboard_2!$H$31=Data_Lists!M6,Dashboard_2!$H$29*Dashboard_2!$H$30,IF(Dashboard_2!$H$31=Data_Lists!M7,0))))))</f>
        <v>300</v>
      </c>
      <c r="AO25" s="134">
        <f>IF(Dashboard_2!$H$31=Data_Lists!M2,Dashboard_2!$H$29*Dashboard_2!$H$30,IF(Dashboard_2!$H$31=Data_Lists!M3,0,IF(Dashboard_2!$H$31=Data_Lists!M4,0,IF(Dashboard_2!$H$31=Data_Lists!M5,0,IF(Dashboard_2!$H$31=Data_Lists!M6,0,IF(Dashboard_2!$H$31=Data_Lists!M7,0))))))</f>
        <v>300</v>
      </c>
      <c r="AP25" s="134">
        <f>IF(Dashboard_2!$H$31=Data_Lists!M2,Dashboard_2!$H$29*Dashboard_2!$H$30,IF(Dashboard_2!$H$31=Data_Lists!M3,Dashboard_2!$H$29*Dashboard_2!$H$30,IF(Dashboard_2!$H$31=Data_Lists!M4,0,IF(Dashboard_2!$H$31=Data_Lists!M5,0,IF(Dashboard_2!$H$31=Data_Lists!M6,0,IF(Dashboard_2!$H$31=Data_Lists!M7,0))))))</f>
        <v>300</v>
      </c>
      <c r="AQ25" s="134">
        <f>IF(Dashboard_2!$H$31=Data_Lists!M2,Dashboard_2!$H$29*Dashboard_2!$H$30,IF(Dashboard_2!$H$31=Data_Lists!M3,0,IF(Dashboard_2!$H$31=Data_Lists!M4,Dashboard_2!$H$29*Dashboard_2!$H$30,IF(Dashboard_2!$H$31=Data_Lists!M5,0,IF(Dashboard_2!$H$31=Data_Lists!M6,0,IF(Dashboard_2!$H$31=Data_Lists!M7,0))))))</f>
        <v>300</v>
      </c>
      <c r="AR25" s="134">
        <f>IF(Dashboard_2!$H$31=Data_Lists!M2,Dashboard_2!$H$29*Dashboard_2!$H$30,IF(Dashboard_2!$H$31=Data_Lists!M3,Dashboard_2!$H$29*Dashboard_2!$H$30,IF(Dashboard_2!$H$31=Data_Lists!M4,0,IF(Dashboard_2!$H$31=Data_Lists!M5,Dashboard_2!$H$29*Dashboard_2!$H$30,IF(Dashboard_2!$H$31=Data_Lists!M6,0,IF(Dashboard_2!$H$31=Data_Lists!M7,0))))))</f>
        <v>300</v>
      </c>
      <c r="AS25" s="134">
        <f>IF(Dashboard_2!$H$31=Data_Lists!M2,Dashboard_2!$H$29*Dashboard_2!$H$30,IF(Dashboard_2!$H$31=Data_Lists!M3,0,IF(Dashboard_2!$H$31=Data_Lists!M4,0,IF(Dashboard_2!$H$31=Data_Lists!M5,0,IF(Dashboard_2!$H$31=Data_Lists!M6,Dashboard_2!$H$29*Dashboard_2!$H$30,IF(Dashboard_2!$H$31=Data_Lists!M7,0))))))</f>
        <v>300</v>
      </c>
      <c r="AT25" s="134">
        <f>IF(Dashboard_2!$H$31=Data_Lists!M2,Dashboard_2!$H$29*Dashboard_2!$H$30,IF(Dashboard_2!$H$31=Data_Lists!M3,Dashboard_2!$H$29*Dashboard_2!$H$30,IF(Dashboard_2!$H$31=Data_Lists!M4,Dashboard_2!$H$29*Dashboard_2!$H$30,IF(Dashboard_2!$H$31=Data_Lists!M5,0,IF(Dashboard_2!$H$31=Data_Lists!M6,0,IF(Dashboard_2!$H$31=Data_Lists!M7,0))))))</f>
        <v>300</v>
      </c>
      <c r="AU25" s="134">
        <f>IF(Dashboard_2!$H$31=Data_Lists!M2,Dashboard_2!$H$29*Dashboard_2!$H$30,IF(Dashboard_2!$H$31=Data_Lists!M3,0,IF(Dashboard_2!$H$31=Data_Lists!M4,0,IF(Dashboard_2!$H$31=Data_Lists!M5,0,IF(Dashboard_2!$H$31=Data_Lists!M6,0,IF(Dashboard_2!$H$31=Data_Lists!M7,0))))))</f>
        <v>300</v>
      </c>
      <c r="AV25" s="134">
        <f>IF(Dashboard_2!$H$31=Data_Lists!M2,Dashboard_2!$H$29*Dashboard_2!$H$30,IF(Dashboard_2!$H$31=Data_Lists!M3,Dashboard_2!$H$29*Dashboard_2!$H$30,IF(Dashboard_2!$H$31=Data_Lists!M4,0,IF(Dashboard_2!$H$31=Data_Lists!M5,Dashboard_2!$H$29*Dashboard_2!$H$30,IF(Dashboard_2!$H$31=Data_Lists!M6,0,IF(Dashboard_2!$H$31=Data_Lists!M7,0))))))</f>
        <v>300</v>
      </c>
      <c r="AW25" s="134">
        <f>IF(Dashboard_2!$H$31=Data_Lists!M2,Dashboard_2!$H$29*Dashboard_2!$H$30,IF(Dashboard_2!$H$31=Data_Lists!M3,0,IF(Dashboard_2!$H$31=Data_Lists!M4,Dashboard_2!$H$29*Dashboard_2!$H$30,IF(Dashboard_2!$H$31=Data_Lists!M5,0,IF(Dashboard_2!$H$31=Data_Lists!M6,0,IF(Dashboard_2!$H$31=Data_Lists!M7,0))))))</f>
        <v>300</v>
      </c>
      <c r="AX25" s="134">
        <f>IF(Dashboard_2!$H$31=Data_Lists!M2,Dashboard_2!$H$29*Dashboard_2!$H$30,IF(Dashboard_2!$H$31=Data_Lists!M3,Dashboard_2!$H$29*Dashboard_2!$H$30,IF(Dashboard_2!$H$31=Data_Lists!M4,0,IF(Dashboard_2!$H$31=Data_Lists!M5,0,IF(Dashboard_2!$H$31=Data_Lists!M6,Dashboard_2!$H$29*Dashboard_2!$H$30,IF(Dashboard_2!$H$31=Data_Lists!M7,0))))))</f>
        <v>300</v>
      </c>
      <c r="AY25" s="134">
        <f>IF(Dashboard_2!$H$31=Data_Lists!M2,Dashboard_2!$H$29*Dashboard_2!$H$30,IF(Dashboard_2!$H$31=Data_Lists!M3,0,IF(Dashboard_2!$H$31=Data_Lists!M4,0,IF(Dashboard_2!$H$31=Data_Lists!M5,0,IF(Dashboard_2!$H$31=Data_Lists!M6,0,IF(Dashboard_2!$H$31=Data_Lists!M7,0))))))</f>
        <v>300</v>
      </c>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row>
    <row r="26" spans="1:98" s="138" customFormat="1" x14ac:dyDescent="0.45">
      <c r="A26" s="136" t="str">
        <f>Dashboard_2!B50</f>
        <v>GIS mapping and inventory assessment ($)</v>
      </c>
      <c r="B26" s="134">
        <f>Dashboard_2!H50*Dashboard_2!$H$6</f>
        <v>240</v>
      </c>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row>
    <row r="27" spans="1:98" s="138" customFormat="1" x14ac:dyDescent="0.45">
      <c r="A27" s="136"/>
      <c r="B27" s="134"/>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row>
    <row r="28" spans="1:98" s="138" customFormat="1" x14ac:dyDescent="0.45">
      <c r="A28" s="144" t="s">
        <v>426</v>
      </c>
      <c r="B28" s="134"/>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row>
    <row r="29" spans="1:98" s="138" customFormat="1" x14ac:dyDescent="0.45">
      <c r="A29" s="197" t="str">
        <f>Dashboard_2!B32</f>
        <v>User specified cost item 1 ($/tree in Year 1 only)</v>
      </c>
      <c r="B29" s="197">
        <f>Dashboard_2!H32*Dashboard_2!$H$6</f>
        <v>0</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row>
    <row r="30" spans="1:98" s="138" customFormat="1" x14ac:dyDescent="0.45">
      <c r="A30" s="197" t="str">
        <f>Dashboard_2!B33</f>
        <v>User specified cost item 2 ($/tree per annum up to year 2)</v>
      </c>
      <c r="B30" s="197">
        <f>Dashboard_2!H33*Dashboard_2!$H$6</f>
        <v>0</v>
      </c>
      <c r="C30" s="197">
        <f>B30</f>
        <v>0</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row>
    <row r="31" spans="1:98" s="138" customFormat="1" x14ac:dyDescent="0.45">
      <c r="A31" s="197" t="str">
        <f>Dashboard_2!B34</f>
        <v>User specified cost item 3 ($/tree per annum)</v>
      </c>
      <c r="B31" s="197">
        <f>Dashboard_2!H34*Dashboard_2!$H$6</f>
        <v>0</v>
      </c>
      <c r="C31" s="197">
        <f>B31</f>
        <v>0</v>
      </c>
      <c r="D31" s="197">
        <f t="shared" ref="D31:AY33" si="5">C31</f>
        <v>0</v>
      </c>
      <c r="E31" s="197">
        <f t="shared" si="5"/>
        <v>0</v>
      </c>
      <c r="F31" s="197">
        <f t="shared" si="5"/>
        <v>0</v>
      </c>
      <c r="G31" s="197">
        <f t="shared" si="5"/>
        <v>0</v>
      </c>
      <c r="H31" s="197">
        <f t="shared" si="5"/>
        <v>0</v>
      </c>
      <c r="I31" s="197">
        <f t="shared" si="5"/>
        <v>0</v>
      </c>
      <c r="J31" s="197">
        <f t="shared" si="5"/>
        <v>0</v>
      </c>
      <c r="K31" s="197">
        <f t="shared" si="5"/>
        <v>0</v>
      </c>
      <c r="L31" s="197">
        <f t="shared" si="5"/>
        <v>0</v>
      </c>
      <c r="M31" s="197">
        <f t="shared" si="5"/>
        <v>0</v>
      </c>
      <c r="N31" s="197">
        <f t="shared" si="5"/>
        <v>0</v>
      </c>
      <c r="O31" s="197">
        <f t="shared" si="5"/>
        <v>0</v>
      </c>
      <c r="P31" s="197">
        <f t="shared" si="5"/>
        <v>0</v>
      </c>
      <c r="Q31" s="197">
        <f t="shared" si="5"/>
        <v>0</v>
      </c>
      <c r="R31" s="197">
        <f t="shared" si="5"/>
        <v>0</v>
      </c>
      <c r="S31" s="197">
        <f t="shared" si="5"/>
        <v>0</v>
      </c>
      <c r="T31" s="197">
        <f t="shared" si="5"/>
        <v>0</v>
      </c>
      <c r="U31" s="197">
        <f t="shared" si="5"/>
        <v>0</v>
      </c>
      <c r="V31" s="197">
        <f t="shared" si="5"/>
        <v>0</v>
      </c>
      <c r="W31" s="197">
        <f t="shared" si="5"/>
        <v>0</v>
      </c>
      <c r="X31" s="197">
        <f t="shared" si="5"/>
        <v>0</v>
      </c>
      <c r="Y31" s="197">
        <f t="shared" si="5"/>
        <v>0</v>
      </c>
      <c r="Z31" s="197">
        <f t="shared" si="5"/>
        <v>0</v>
      </c>
      <c r="AA31" s="197">
        <f t="shared" si="5"/>
        <v>0</v>
      </c>
      <c r="AB31" s="197">
        <f t="shared" si="5"/>
        <v>0</v>
      </c>
      <c r="AC31" s="197">
        <f t="shared" si="5"/>
        <v>0</v>
      </c>
      <c r="AD31" s="197">
        <f t="shared" si="5"/>
        <v>0</v>
      </c>
      <c r="AE31" s="197">
        <f t="shared" si="5"/>
        <v>0</v>
      </c>
      <c r="AF31" s="197">
        <f t="shared" si="5"/>
        <v>0</v>
      </c>
      <c r="AG31" s="197">
        <f t="shared" si="5"/>
        <v>0</v>
      </c>
      <c r="AH31" s="197">
        <f t="shared" si="5"/>
        <v>0</v>
      </c>
      <c r="AI31" s="197">
        <f t="shared" si="5"/>
        <v>0</v>
      </c>
      <c r="AJ31" s="197">
        <f t="shared" si="5"/>
        <v>0</v>
      </c>
      <c r="AK31" s="197">
        <f t="shared" si="5"/>
        <v>0</v>
      </c>
      <c r="AL31" s="197">
        <f t="shared" si="5"/>
        <v>0</v>
      </c>
      <c r="AM31" s="197">
        <f t="shared" si="5"/>
        <v>0</v>
      </c>
      <c r="AN31" s="197">
        <f t="shared" si="5"/>
        <v>0</v>
      </c>
      <c r="AO31" s="197">
        <f t="shared" si="5"/>
        <v>0</v>
      </c>
      <c r="AP31" s="197">
        <f t="shared" si="5"/>
        <v>0</v>
      </c>
      <c r="AQ31" s="197">
        <f t="shared" si="5"/>
        <v>0</v>
      </c>
      <c r="AR31" s="197">
        <f t="shared" si="5"/>
        <v>0</v>
      </c>
      <c r="AS31" s="197">
        <f t="shared" si="5"/>
        <v>0</v>
      </c>
      <c r="AT31" s="197">
        <f t="shared" si="5"/>
        <v>0</v>
      </c>
      <c r="AU31" s="197">
        <f t="shared" si="5"/>
        <v>0</v>
      </c>
      <c r="AV31" s="197">
        <f t="shared" si="5"/>
        <v>0</v>
      </c>
      <c r="AW31" s="197">
        <f t="shared" si="5"/>
        <v>0</v>
      </c>
      <c r="AX31" s="197">
        <f t="shared" si="5"/>
        <v>0</v>
      </c>
      <c r="AY31" s="197">
        <f t="shared" si="5"/>
        <v>0</v>
      </c>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row>
    <row r="32" spans="1:98" s="138" customFormat="1" x14ac:dyDescent="0.45">
      <c r="A32" s="197" t="str">
        <f>Dashboard_2!B35</f>
        <v>User specified cost item 4 ($/tree per annum)</v>
      </c>
      <c r="B32" s="197">
        <f>Dashboard_2!H35*Dashboard_2!$H$6</f>
        <v>0</v>
      </c>
      <c r="C32" s="197">
        <f>B32</f>
        <v>0</v>
      </c>
      <c r="D32" s="197">
        <f t="shared" si="5"/>
        <v>0</v>
      </c>
      <c r="E32" s="197">
        <f t="shared" si="5"/>
        <v>0</v>
      </c>
      <c r="F32" s="197">
        <f t="shared" si="5"/>
        <v>0</v>
      </c>
      <c r="G32" s="197">
        <f t="shared" si="5"/>
        <v>0</v>
      </c>
      <c r="H32" s="197">
        <f t="shared" si="5"/>
        <v>0</v>
      </c>
      <c r="I32" s="197">
        <f t="shared" si="5"/>
        <v>0</v>
      </c>
      <c r="J32" s="197">
        <f t="shared" si="5"/>
        <v>0</v>
      </c>
      <c r="K32" s="197">
        <f t="shared" si="5"/>
        <v>0</v>
      </c>
      <c r="L32" s="197">
        <f t="shared" si="5"/>
        <v>0</v>
      </c>
      <c r="M32" s="197">
        <f t="shared" si="5"/>
        <v>0</v>
      </c>
      <c r="N32" s="197">
        <f t="shared" si="5"/>
        <v>0</v>
      </c>
      <c r="O32" s="197">
        <f t="shared" si="5"/>
        <v>0</v>
      </c>
      <c r="P32" s="197">
        <f t="shared" si="5"/>
        <v>0</v>
      </c>
      <c r="Q32" s="197">
        <f t="shared" si="5"/>
        <v>0</v>
      </c>
      <c r="R32" s="197">
        <f t="shared" si="5"/>
        <v>0</v>
      </c>
      <c r="S32" s="197">
        <f t="shared" si="5"/>
        <v>0</v>
      </c>
      <c r="T32" s="197">
        <f t="shared" si="5"/>
        <v>0</v>
      </c>
      <c r="U32" s="197">
        <f t="shared" si="5"/>
        <v>0</v>
      </c>
      <c r="V32" s="197">
        <f t="shared" si="5"/>
        <v>0</v>
      </c>
      <c r="W32" s="197">
        <f t="shared" si="5"/>
        <v>0</v>
      </c>
      <c r="X32" s="197">
        <f t="shared" si="5"/>
        <v>0</v>
      </c>
      <c r="Y32" s="197">
        <f t="shared" si="5"/>
        <v>0</v>
      </c>
      <c r="Z32" s="197">
        <f t="shared" si="5"/>
        <v>0</v>
      </c>
      <c r="AA32" s="197">
        <f t="shared" si="5"/>
        <v>0</v>
      </c>
      <c r="AB32" s="197">
        <f t="shared" si="5"/>
        <v>0</v>
      </c>
      <c r="AC32" s="197">
        <f t="shared" si="5"/>
        <v>0</v>
      </c>
      <c r="AD32" s="197">
        <f t="shared" si="5"/>
        <v>0</v>
      </c>
      <c r="AE32" s="197">
        <f t="shared" si="5"/>
        <v>0</v>
      </c>
      <c r="AF32" s="197">
        <f t="shared" si="5"/>
        <v>0</v>
      </c>
      <c r="AG32" s="197">
        <f t="shared" si="5"/>
        <v>0</v>
      </c>
      <c r="AH32" s="197">
        <f t="shared" si="5"/>
        <v>0</v>
      </c>
      <c r="AI32" s="197">
        <f t="shared" si="5"/>
        <v>0</v>
      </c>
      <c r="AJ32" s="197">
        <f t="shared" si="5"/>
        <v>0</v>
      </c>
      <c r="AK32" s="197">
        <f t="shared" si="5"/>
        <v>0</v>
      </c>
      <c r="AL32" s="197">
        <f t="shared" si="5"/>
        <v>0</v>
      </c>
      <c r="AM32" s="197">
        <f t="shared" si="5"/>
        <v>0</v>
      </c>
      <c r="AN32" s="197">
        <f t="shared" si="5"/>
        <v>0</v>
      </c>
      <c r="AO32" s="197">
        <f t="shared" si="5"/>
        <v>0</v>
      </c>
      <c r="AP32" s="197">
        <f t="shared" si="5"/>
        <v>0</v>
      </c>
      <c r="AQ32" s="197">
        <f t="shared" si="5"/>
        <v>0</v>
      </c>
      <c r="AR32" s="197">
        <f t="shared" si="5"/>
        <v>0</v>
      </c>
      <c r="AS32" s="197">
        <f t="shared" si="5"/>
        <v>0</v>
      </c>
      <c r="AT32" s="197">
        <f t="shared" si="5"/>
        <v>0</v>
      </c>
      <c r="AU32" s="197">
        <f t="shared" si="5"/>
        <v>0</v>
      </c>
      <c r="AV32" s="197">
        <f t="shared" si="5"/>
        <v>0</v>
      </c>
      <c r="AW32" s="197">
        <f t="shared" si="5"/>
        <v>0</v>
      </c>
      <c r="AX32" s="197">
        <f t="shared" si="5"/>
        <v>0</v>
      </c>
      <c r="AY32" s="197">
        <f t="shared" si="5"/>
        <v>0</v>
      </c>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row>
    <row r="33" spans="1:98" s="138" customFormat="1" x14ac:dyDescent="0.45">
      <c r="A33" s="197" t="str">
        <f>Dashboard_2!B36</f>
        <v>User specified cost item 5 ($/tree per annum)</v>
      </c>
      <c r="B33" s="197">
        <f>Dashboard_2!H36*Dashboard_2!$H$6</f>
        <v>0</v>
      </c>
      <c r="C33" s="197">
        <f>B33</f>
        <v>0</v>
      </c>
      <c r="D33" s="197">
        <f t="shared" si="5"/>
        <v>0</v>
      </c>
      <c r="E33" s="197">
        <f t="shared" si="5"/>
        <v>0</v>
      </c>
      <c r="F33" s="197">
        <f t="shared" si="5"/>
        <v>0</v>
      </c>
      <c r="G33" s="197">
        <f t="shared" si="5"/>
        <v>0</v>
      </c>
      <c r="H33" s="197">
        <f t="shared" si="5"/>
        <v>0</v>
      </c>
      <c r="I33" s="197">
        <f t="shared" si="5"/>
        <v>0</v>
      </c>
      <c r="J33" s="197">
        <f t="shared" si="5"/>
        <v>0</v>
      </c>
      <c r="K33" s="197">
        <f t="shared" si="5"/>
        <v>0</v>
      </c>
      <c r="L33" s="197">
        <f t="shared" si="5"/>
        <v>0</v>
      </c>
      <c r="M33" s="197">
        <f t="shared" si="5"/>
        <v>0</v>
      </c>
      <c r="N33" s="197">
        <f t="shared" si="5"/>
        <v>0</v>
      </c>
      <c r="O33" s="197">
        <f t="shared" si="5"/>
        <v>0</v>
      </c>
      <c r="P33" s="197">
        <f t="shared" si="5"/>
        <v>0</v>
      </c>
      <c r="Q33" s="197">
        <f t="shared" si="5"/>
        <v>0</v>
      </c>
      <c r="R33" s="197">
        <f t="shared" si="5"/>
        <v>0</v>
      </c>
      <c r="S33" s="197">
        <f t="shared" si="5"/>
        <v>0</v>
      </c>
      <c r="T33" s="197">
        <f t="shared" si="5"/>
        <v>0</v>
      </c>
      <c r="U33" s="197">
        <f t="shared" si="5"/>
        <v>0</v>
      </c>
      <c r="V33" s="197">
        <f t="shared" si="5"/>
        <v>0</v>
      </c>
      <c r="W33" s="197">
        <f t="shared" si="5"/>
        <v>0</v>
      </c>
      <c r="X33" s="197">
        <f t="shared" si="5"/>
        <v>0</v>
      </c>
      <c r="Y33" s="197">
        <f t="shared" si="5"/>
        <v>0</v>
      </c>
      <c r="Z33" s="197">
        <f t="shared" si="5"/>
        <v>0</v>
      </c>
      <c r="AA33" s="197">
        <f t="shared" si="5"/>
        <v>0</v>
      </c>
      <c r="AB33" s="197">
        <f t="shared" si="5"/>
        <v>0</v>
      </c>
      <c r="AC33" s="197">
        <f t="shared" si="5"/>
        <v>0</v>
      </c>
      <c r="AD33" s="197">
        <f t="shared" si="5"/>
        <v>0</v>
      </c>
      <c r="AE33" s="197">
        <f t="shared" si="5"/>
        <v>0</v>
      </c>
      <c r="AF33" s="197">
        <f t="shared" si="5"/>
        <v>0</v>
      </c>
      <c r="AG33" s="197">
        <f t="shared" si="5"/>
        <v>0</v>
      </c>
      <c r="AH33" s="197">
        <f t="shared" si="5"/>
        <v>0</v>
      </c>
      <c r="AI33" s="197">
        <f t="shared" si="5"/>
        <v>0</v>
      </c>
      <c r="AJ33" s="197">
        <f t="shared" si="5"/>
        <v>0</v>
      </c>
      <c r="AK33" s="197">
        <f t="shared" si="5"/>
        <v>0</v>
      </c>
      <c r="AL33" s="197">
        <f t="shared" si="5"/>
        <v>0</v>
      </c>
      <c r="AM33" s="197">
        <f t="shared" si="5"/>
        <v>0</v>
      </c>
      <c r="AN33" s="197">
        <f t="shared" si="5"/>
        <v>0</v>
      </c>
      <c r="AO33" s="197">
        <f t="shared" si="5"/>
        <v>0</v>
      </c>
      <c r="AP33" s="197">
        <f t="shared" si="5"/>
        <v>0</v>
      </c>
      <c r="AQ33" s="197">
        <f t="shared" si="5"/>
        <v>0</v>
      </c>
      <c r="AR33" s="197">
        <f t="shared" si="5"/>
        <v>0</v>
      </c>
      <c r="AS33" s="197">
        <f t="shared" si="5"/>
        <v>0</v>
      </c>
      <c r="AT33" s="197">
        <f t="shared" si="5"/>
        <v>0</v>
      </c>
      <c r="AU33" s="197">
        <f t="shared" si="5"/>
        <v>0</v>
      </c>
      <c r="AV33" s="197">
        <f t="shared" si="5"/>
        <v>0</v>
      </c>
      <c r="AW33" s="197">
        <f t="shared" si="5"/>
        <v>0</v>
      </c>
      <c r="AX33" s="197">
        <f t="shared" si="5"/>
        <v>0</v>
      </c>
      <c r="AY33" s="197">
        <f t="shared" si="5"/>
        <v>0</v>
      </c>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row>
    <row r="34" spans="1:98" s="138" customFormat="1" x14ac:dyDescent="0.45">
      <c r="A34" s="136"/>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row>
    <row r="35" spans="1:98" s="138" customFormat="1" x14ac:dyDescent="0.45">
      <c r="A35" s="143" t="s">
        <v>82</v>
      </c>
      <c r="B35" s="62">
        <f>SUM(B19:B26,B30:B33)</f>
        <v>19139</v>
      </c>
      <c r="C35" s="62">
        <f t="shared" ref="C35:AY35" si="6">SUM(C19:C26,C30:C33)</f>
        <v>5910</v>
      </c>
      <c r="D35" s="62">
        <f t="shared" si="6"/>
        <v>5032.5</v>
      </c>
      <c r="E35" s="62">
        <f t="shared" si="6"/>
        <v>5032.5</v>
      </c>
      <c r="F35" s="62">
        <f t="shared" si="6"/>
        <v>5032.5</v>
      </c>
      <c r="G35" s="62">
        <f t="shared" si="6"/>
        <v>5032.5</v>
      </c>
      <c r="H35" s="62">
        <f t="shared" si="6"/>
        <v>5032.5</v>
      </c>
      <c r="I35" s="62">
        <f t="shared" si="6"/>
        <v>5032.5</v>
      </c>
      <c r="J35" s="62">
        <f t="shared" si="6"/>
        <v>5032.5</v>
      </c>
      <c r="K35" s="62">
        <f t="shared" si="6"/>
        <v>5032.5</v>
      </c>
      <c r="L35" s="62">
        <f t="shared" si="6"/>
        <v>5032.5</v>
      </c>
      <c r="M35" s="62">
        <f t="shared" si="6"/>
        <v>5032.5</v>
      </c>
      <c r="N35" s="62">
        <f t="shared" si="6"/>
        <v>5032.5</v>
      </c>
      <c r="O35" s="62">
        <f t="shared" si="6"/>
        <v>5032.5</v>
      </c>
      <c r="P35" s="62">
        <f t="shared" si="6"/>
        <v>5032.5</v>
      </c>
      <c r="Q35" s="62">
        <f t="shared" si="6"/>
        <v>5032.5</v>
      </c>
      <c r="R35" s="62">
        <f t="shared" si="6"/>
        <v>5032.5</v>
      </c>
      <c r="S35" s="62">
        <f t="shared" si="6"/>
        <v>5032.5</v>
      </c>
      <c r="T35" s="62">
        <f t="shared" si="6"/>
        <v>5032.5</v>
      </c>
      <c r="U35" s="62">
        <f t="shared" si="6"/>
        <v>5032.5</v>
      </c>
      <c r="V35" s="62">
        <f t="shared" si="6"/>
        <v>5032.5</v>
      </c>
      <c r="W35" s="62">
        <f t="shared" si="6"/>
        <v>5032.5</v>
      </c>
      <c r="X35" s="62">
        <f t="shared" si="6"/>
        <v>5032.5</v>
      </c>
      <c r="Y35" s="62">
        <f t="shared" si="6"/>
        <v>5032.5</v>
      </c>
      <c r="Z35" s="62">
        <f t="shared" si="6"/>
        <v>5032.5</v>
      </c>
      <c r="AA35" s="62">
        <f t="shared" si="6"/>
        <v>5032.5</v>
      </c>
      <c r="AB35" s="62">
        <f t="shared" si="6"/>
        <v>5032.5</v>
      </c>
      <c r="AC35" s="62">
        <f t="shared" si="6"/>
        <v>5032.5</v>
      </c>
      <c r="AD35" s="62">
        <f t="shared" si="6"/>
        <v>5032.5</v>
      </c>
      <c r="AE35" s="62">
        <f t="shared" si="6"/>
        <v>5032.5</v>
      </c>
      <c r="AF35" s="62">
        <f t="shared" si="6"/>
        <v>5032.5</v>
      </c>
      <c r="AG35" s="62">
        <f t="shared" si="6"/>
        <v>5032.5</v>
      </c>
      <c r="AH35" s="62">
        <f t="shared" si="6"/>
        <v>5032.5</v>
      </c>
      <c r="AI35" s="62">
        <f t="shared" si="6"/>
        <v>5032.5</v>
      </c>
      <c r="AJ35" s="62">
        <f t="shared" si="6"/>
        <v>5032.5</v>
      </c>
      <c r="AK35" s="62">
        <f t="shared" si="6"/>
        <v>5032.5</v>
      </c>
      <c r="AL35" s="62">
        <f t="shared" si="6"/>
        <v>5032.5</v>
      </c>
      <c r="AM35" s="62">
        <f t="shared" si="6"/>
        <v>5032.5</v>
      </c>
      <c r="AN35" s="62">
        <f t="shared" si="6"/>
        <v>5032.5</v>
      </c>
      <c r="AO35" s="62">
        <f t="shared" si="6"/>
        <v>5032.5</v>
      </c>
      <c r="AP35" s="62">
        <f t="shared" si="6"/>
        <v>5032.5</v>
      </c>
      <c r="AQ35" s="62">
        <f t="shared" si="6"/>
        <v>5032.5</v>
      </c>
      <c r="AR35" s="62">
        <f t="shared" si="6"/>
        <v>5032.5</v>
      </c>
      <c r="AS35" s="62">
        <f t="shared" si="6"/>
        <v>5032.5</v>
      </c>
      <c r="AT35" s="62">
        <f t="shared" si="6"/>
        <v>5032.5</v>
      </c>
      <c r="AU35" s="62">
        <f t="shared" si="6"/>
        <v>5032.5</v>
      </c>
      <c r="AV35" s="62">
        <f t="shared" si="6"/>
        <v>5032.5</v>
      </c>
      <c r="AW35" s="62">
        <f t="shared" si="6"/>
        <v>5032.5</v>
      </c>
      <c r="AX35" s="62">
        <f t="shared" si="6"/>
        <v>5032.5</v>
      </c>
      <c r="AY35" s="62">
        <f t="shared" si="6"/>
        <v>5032.5</v>
      </c>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row>
    <row r="36" spans="1:98" s="138" customFormat="1" x14ac:dyDescent="0.45">
      <c r="A36" s="136"/>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10"/>
      <c r="CO36" s="210"/>
      <c r="CP36" s="210"/>
      <c r="CQ36" s="210"/>
      <c r="CR36" s="210"/>
      <c r="CS36" s="210"/>
      <c r="CT36" s="210"/>
    </row>
    <row r="37" spans="1:98" s="138" customFormat="1" x14ac:dyDescent="0.45">
      <c r="A37" s="144" t="s">
        <v>83</v>
      </c>
      <c r="B37" s="168"/>
      <c r="C37" s="183"/>
      <c r="D37" s="183"/>
      <c r="E37" s="183"/>
      <c r="F37" s="183"/>
      <c r="G37" s="183"/>
      <c r="H37" s="168"/>
      <c r="I37" s="168"/>
      <c r="J37" s="18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10"/>
      <c r="CO37" s="210"/>
      <c r="CP37" s="210"/>
      <c r="CQ37" s="210"/>
      <c r="CR37" s="210"/>
      <c r="CS37" s="210"/>
      <c r="CT37" s="210"/>
    </row>
    <row r="38" spans="1:98" s="138" customFormat="1" x14ac:dyDescent="0.45">
      <c r="A38" s="136" t="str">
        <f>Dashboard_2!B52</f>
        <v>Mortality - under a poor maintenance regime</v>
      </c>
      <c r="B38" s="189"/>
      <c r="C38" s="137">
        <f>Dashboard_2!H52*(B16-B14-B4-B15-B10-B12)</f>
        <v>2230.4446377960335</v>
      </c>
      <c r="D38" s="137">
        <f>(1-Dashboard_2!$H$52)*C38</f>
        <v>2007.4001740164301</v>
      </c>
      <c r="E38" s="137">
        <f>(1-Dashboard_2!$H$52)*D38</f>
        <v>1806.6601566147872</v>
      </c>
      <c r="F38" s="137">
        <f>(1-Dashboard_2!$H$52)*E38</f>
        <v>1625.9941409533085</v>
      </c>
      <c r="G38" s="137">
        <f>(1-Dashboard_2!$H$52)*F38</f>
        <v>1463.3947268579777</v>
      </c>
      <c r="H38" s="168"/>
      <c r="I38" s="168"/>
      <c r="J38" s="168"/>
      <c r="K38" s="188"/>
      <c r="L38" s="168"/>
      <c r="M38" s="168"/>
      <c r="N38" s="168"/>
      <c r="O38" s="168"/>
      <c r="P38" s="188"/>
      <c r="Q38" s="168"/>
      <c r="R38" s="168"/>
      <c r="S38" s="168"/>
      <c r="T38" s="168"/>
      <c r="U38" s="188"/>
      <c r="V38" s="168"/>
      <c r="W38" s="168"/>
      <c r="X38" s="168"/>
      <c r="Y38" s="168"/>
      <c r="Z38" s="188"/>
      <c r="AA38" s="168"/>
      <c r="AB38" s="168"/>
      <c r="AC38" s="168"/>
      <c r="AD38" s="16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row>
    <row r="39" spans="1:98" s="138" customFormat="1" x14ac:dyDescent="0.45">
      <c r="A39" s="136" t="str">
        <f>Dashboard_2!B53</f>
        <v>Mortality - under a good maintenance regime</v>
      </c>
      <c r="B39" s="189"/>
      <c r="C39" s="137">
        <f>Dashboard_2!H53*(B16-B14-B4-B15-B10-B12)</f>
        <v>1561.3112464572234</v>
      </c>
      <c r="D39" s="137">
        <f>(1-Dashboard_2!$H$53)*C39</f>
        <v>1452.0194592052178</v>
      </c>
      <c r="E39" s="137">
        <f>(1-Dashboard_2!$H$53)*D39</f>
        <v>1350.3780970608525</v>
      </c>
      <c r="F39" s="137">
        <f>(1-Dashboard_2!$H$53)*E39</f>
        <v>1255.8516302665928</v>
      </c>
      <c r="G39" s="137">
        <f>(1-Dashboard_2!$H$53)*F39</f>
        <v>1167.9420161479313</v>
      </c>
      <c r="H39" s="168"/>
      <c r="I39" s="168"/>
      <c r="J39" s="168"/>
      <c r="K39" s="183"/>
      <c r="L39" s="168"/>
      <c r="M39" s="168"/>
      <c r="N39" s="168"/>
      <c r="O39" s="168"/>
      <c r="P39" s="183"/>
      <c r="Q39" s="168"/>
      <c r="R39" s="168"/>
      <c r="S39" s="168"/>
      <c r="T39" s="168"/>
      <c r="U39" s="183"/>
      <c r="V39" s="168"/>
      <c r="W39" s="168"/>
      <c r="X39" s="168"/>
      <c r="Y39" s="168"/>
      <c r="Z39" s="183"/>
      <c r="AA39" s="168"/>
      <c r="AB39" s="168"/>
      <c r="AC39" s="168"/>
      <c r="AD39" s="168"/>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row>
    <row r="40" spans="1:98" s="138" customFormat="1" x14ac:dyDescent="0.45">
      <c r="A40" s="136" t="s">
        <v>115</v>
      </c>
      <c r="B40" s="146"/>
      <c r="C40" s="137">
        <f>C38-C39</f>
        <v>669.13339133881004</v>
      </c>
      <c r="D40" s="137">
        <f>D38-D39</f>
        <v>555.38071481121233</v>
      </c>
      <c r="E40" s="137">
        <f>E38-E39</f>
        <v>456.28205955393469</v>
      </c>
      <c r="F40" s="137">
        <f>F38-F39</f>
        <v>370.1425106867157</v>
      </c>
      <c r="G40" s="137">
        <f>G38-G39</f>
        <v>295.4527107100464</v>
      </c>
      <c r="H40" s="136"/>
      <c r="I40" s="145"/>
      <c r="J40" s="136"/>
      <c r="K40" s="139"/>
      <c r="L40" s="136"/>
      <c r="M40" s="136"/>
      <c r="N40" s="136"/>
      <c r="O40" s="136"/>
      <c r="P40" s="139"/>
      <c r="Q40" s="136"/>
      <c r="R40" s="136"/>
      <c r="S40" s="136"/>
      <c r="T40" s="136"/>
      <c r="U40" s="139"/>
      <c r="V40" s="136"/>
      <c r="W40" s="136"/>
      <c r="X40" s="136"/>
      <c r="Y40" s="136"/>
      <c r="Z40" s="139"/>
      <c r="AA40" s="136"/>
      <c r="AB40" s="147"/>
      <c r="AC40" s="136"/>
      <c r="AD40" s="136"/>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c r="CN40" s="139"/>
      <c r="CO40" s="139"/>
      <c r="CP40" s="139"/>
      <c r="CQ40" s="139"/>
      <c r="CR40" s="139"/>
      <c r="CS40" s="139"/>
      <c r="CT40" s="139"/>
    </row>
    <row r="41" spans="1:98" s="138" customFormat="1" x14ac:dyDescent="0.45">
      <c r="A41" s="136" t="str">
        <f>Dashboard_2!B54</f>
        <v>Post-establishment mortality rate</v>
      </c>
      <c r="B41" s="146"/>
      <c r="C41" s="137"/>
      <c r="D41" s="137"/>
      <c r="E41" s="137"/>
      <c r="F41" s="137"/>
      <c r="G41" s="137"/>
      <c r="H41" s="134">
        <f>Dashboard_2!H54*(B16-B14-B4-B15-B10-B12)</f>
        <v>446.08892755920664</v>
      </c>
      <c r="I41" s="145">
        <f>H41</f>
        <v>446.08892755920664</v>
      </c>
      <c r="J41" s="145">
        <f t="shared" ref="J41:Y42" si="7">I41</f>
        <v>446.08892755920664</v>
      </c>
      <c r="K41" s="145">
        <f t="shared" si="7"/>
        <v>446.08892755920664</v>
      </c>
      <c r="L41" s="145">
        <f t="shared" si="7"/>
        <v>446.08892755920664</v>
      </c>
      <c r="M41" s="145">
        <f t="shared" si="7"/>
        <v>446.08892755920664</v>
      </c>
      <c r="N41" s="145">
        <f t="shared" si="7"/>
        <v>446.08892755920664</v>
      </c>
      <c r="O41" s="145">
        <f t="shared" si="7"/>
        <v>446.08892755920664</v>
      </c>
      <c r="P41" s="145">
        <f t="shared" si="7"/>
        <v>446.08892755920664</v>
      </c>
      <c r="Q41" s="145">
        <f t="shared" si="7"/>
        <v>446.08892755920664</v>
      </c>
      <c r="R41" s="145">
        <f t="shared" si="7"/>
        <v>446.08892755920664</v>
      </c>
      <c r="S41" s="145">
        <f t="shared" si="7"/>
        <v>446.08892755920664</v>
      </c>
      <c r="T41" s="145">
        <f t="shared" si="7"/>
        <v>446.08892755920664</v>
      </c>
      <c r="U41" s="145">
        <f t="shared" si="7"/>
        <v>446.08892755920664</v>
      </c>
      <c r="V41" s="145">
        <f t="shared" si="7"/>
        <v>446.08892755920664</v>
      </c>
      <c r="W41" s="145">
        <f t="shared" si="7"/>
        <v>446.08892755920664</v>
      </c>
      <c r="X41" s="145">
        <f t="shared" si="7"/>
        <v>446.08892755920664</v>
      </c>
      <c r="Y41" s="145">
        <f t="shared" si="7"/>
        <v>446.08892755920664</v>
      </c>
      <c r="Z41" s="145">
        <f t="shared" ref="Z41:AO42" si="8">Y41</f>
        <v>446.08892755920664</v>
      </c>
      <c r="AA41" s="145">
        <f t="shared" si="8"/>
        <v>446.08892755920664</v>
      </c>
      <c r="AB41" s="145">
        <f t="shared" si="8"/>
        <v>446.08892755920664</v>
      </c>
      <c r="AC41" s="145">
        <f t="shared" si="8"/>
        <v>446.08892755920664</v>
      </c>
      <c r="AD41" s="145">
        <f t="shared" si="8"/>
        <v>446.08892755920664</v>
      </c>
      <c r="AE41" s="145">
        <f t="shared" si="8"/>
        <v>446.08892755920664</v>
      </c>
      <c r="AF41" s="145">
        <f t="shared" si="8"/>
        <v>446.08892755920664</v>
      </c>
      <c r="AG41" s="145">
        <f t="shared" si="8"/>
        <v>446.08892755920664</v>
      </c>
      <c r="AH41" s="145">
        <f t="shared" si="8"/>
        <v>446.08892755920664</v>
      </c>
      <c r="AI41" s="145">
        <f t="shared" si="8"/>
        <v>446.08892755920664</v>
      </c>
      <c r="AJ41" s="145">
        <f t="shared" si="8"/>
        <v>446.08892755920664</v>
      </c>
      <c r="AK41" s="145">
        <f t="shared" si="8"/>
        <v>446.08892755920664</v>
      </c>
      <c r="AL41" s="145">
        <f t="shared" si="8"/>
        <v>446.08892755920664</v>
      </c>
      <c r="AM41" s="145">
        <f t="shared" si="8"/>
        <v>446.08892755920664</v>
      </c>
      <c r="AN41" s="145">
        <f t="shared" si="8"/>
        <v>446.08892755920664</v>
      </c>
      <c r="AO41" s="145">
        <f t="shared" si="8"/>
        <v>446.08892755920664</v>
      </c>
      <c r="AP41" s="145">
        <f t="shared" ref="AP41:AY42" si="9">AO41</f>
        <v>446.08892755920664</v>
      </c>
      <c r="AQ41" s="145">
        <f t="shared" si="9"/>
        <v>446.08892755920664</v>
      </c>
      <c r="AR41" s="145">
        <f t="shared" si="9"/>
        <v>446.08892755920664</v>
      </c>
      <c r="AS41" s="145">
        <f t="shared" si="9"/>
        <v>446.08892755920664</v>
      </c>
      <c r="AT41" s="145">
        <f t="shared" si="9"/>
        <v>446.08892755920664</v>
      </c>
      <c r="AU41" s="145">
        <f t="shared" si="9"/>
        <v>446.08892755920664</v>
      </c>
      <c r="AV41" s="145">
        <f t="shared" si="9"/>
        <v>446.08892755920664</v>
      </c>
      <c r="AW41" s="145">
        <f t="shared" si="9"/>
        <v>446.08892755920664</v>
      </c>
      <c r="AX41" s="145">
        <f t="shared" si="9"/>
        <v>446.08892755920664</v>
      </c>
      <c r="AY41" s="145">
        <f t="shared" si="9"/>
        <v>446.08892755920664</v>
      </c>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row>
    <row r="42" spans="1:98" s="138" customFormat="1" x14ac:dyDescent="0.45">
      <c r="A42" s="136" t="str">
        <f>Dashboard_2!B55</f>
        <v>Mortality rate due to accidents and vandalism</v>
      </c>
      <c r="B42" s="190"/>
      <c r="C42" s="137">
        <f>Dashboard_2!H55*(B16-B14-B4-B15-B10-B12)</f>
        <v>669.13339133880993</v>
      </c>
      <c r="D42" s="137">
        <f>C42</f>
        <v>669.13339133880993</v>
      </c>
      <c r="E42" s="137">
        <f t="shared" ref="E42:I42" si="10">D42</f>
        <v>669.13339133880993</v>
      </c>
      <c r="F42" s="137">
        <f t="shared" si="10"/>
        <v>669.13339133880993</v>
      </c>
      <c r="G42" s="137">
        <f t="shared" si="10"/>
        <v>669.13339133880993</v>
      </c>
      <c r="H42" s="137">
        <f t="shared" si="10"/>
        <v>669.13339133880993</v>
      </c>
      <c r="I42" s="137">
        <f t="shared" si="10"/>
        <v>669.13339133880993</v>
      </c>
      <c r="J42" s="137">
        <f t="shared" si="7"/>
        <v>669.13339133880993</v>
      </c>
      <c r="K42" s="137">
        <f t="shared" si="7"/>
        <v>669.13339133880993</v>
      </c>
      <c r="L42" s="137">
        <f t="shared" si="7"/>
        <v>669.13339133880993</v>
      </c>
      <c r="M42" s="137">
        <f t="shared" si="7"/>
        <v>669.13339133880993</v>
      </c>
      <c r="N42" s="137">
        <f t="shared" si="7"/>
        <v>669.13339133880993</v>
      </c>
      <c r="O42" s="137">
        <f t="shared" si="7"/>
        <v>669.13339133880993</v>
      </c>
      <c r="P42" s="137">
        <f t="shared" si="7"/>
        <v>669.13339133880993</v>
      </c>
      <c r="Q42" s="137">
        <f t="shared" si="7"/>
        <v>669.13339133880993</v>
      </c>
      <c r="R42" s="137">
        <f t="shared" si="7"/>
        <v>669.13339133880993</v>
      </c>
      <c r="S42" s="137">
        <f t="shared" si="7"/>
        <v>669.13339133880993</v>
      </c>
      <c r="T42" s="137">
        <f t="shared" si="7"/>
        <v>669.13339133880993</v>
      </c>
      <c r="U42" s="137">
        <f t="shared" si="7"/>
        <v>669.13339133880993</v>
      </c>
      <c r="V42" s="137">
        <f t="shared" si="7"/>
        <v>669.13339133880993</v>
      </c>
      <c r="W42" s="137">
        <f t="shared" si="7"/>
        <v>669.13339133880993</v>
      </c>
      <c r="X42" s="137">
        <f t="shared" si="7"/>
        <v>669.13339133880993</v>
      </c>
      <c r="Y42" s="137">
        <f t="shared" si="7"/>
        <v>669.13339133880993</v>
      </c>
      <c r="Z42" s="137">
        <f t="shared" si="8"/>
        <v>669.13339133880993</v>
      </c>
      <c r="AA42" s="137">
        <f t="shared" si="8"/>
        <v>669.13339133880993</v>
      </c>
      <c r="AB42" s="137">
        <f t="shared" si="8"/>
        <v>669.13339133880993</v>
      </c>
      <c r="AC42" s="137">
        <f t="shared" si="8"/>
        <v>669.13339133880993</v>
      </c>
      <c r="AD42" s="137">
        <f t="shared" si="8"/>
        <v>669.13339133880993</v>
      </c>
      <c r="AE42" s="137">
        <f t="shared" si="8"/>
        <v>669.13339133880993</v>
      </c>
      <c r="AF42" s="137">
        <f t="shared" si="8"/>
        <v>669.13339133880993</v>
      </c>
      <c r="AG42" s="137">
        <f t="shared" si="8"/>
        <v>669.13339133880993</v>
      </c>
      <c r="AH42" s="137">
        <f t="shared" si="8"/>
        <v>669.13339133880993</v>
      </c>
      <c r="AI42" s="137">
        <f t="shared" si="8"/>
        <v>669.13339133880993</v>
      </c>
      <c r="AJ42" s="137">
        <f t="shared" si="8"/>
        <v>669.13339133880993</v>
      </c>
      <c r="AK42" s="137">
        <f t="shared" si="8"/>
        <v>669.13339133880993</v>
      </c>
      <c r="AL42" s="137">
        <f t="shared" si="8"/>
        <v>669.13339133880993</v>
      </c>
      <c r="AM42" s="137">
        <f t="shared" si="8"/>
        <v>669.13339133880993</v>
      </c>
      <c r="AN42" s="137">
        <f t="shared" si="8"/>
        <v>669.13339133880993</v>
      </c>
      <c r="AO42" s="137">
        <f t="shared" si="8"/>
        <v>669.13339133880993</v>
      </c>
      <c r="AP42" s="137">
        <f t="shared" si="9"/>
        <v>669.13339133880993</v>
      </c>
      <c r="AQ42" s="137">
        <f t="shared" si="9"/>
        <v>669.13339133880993</v>
      </c>
      <c r="AR42" s="137">
        <f t="shared" si="9"/>
        <v>669.13339133880993</v>
      </c>
      <c r="AS42" s="137">
        <f t="shared" si="9"/>
        <v>669.13339133880993</v>
      </c>
      <c r="AT42" s="137">
        <f t="shared" si="9"/>
        <v>669.13339133880993</v>
      </c>
      <c r="AU42" s="137">
        <f t="shared" si="9"/>
        <v>669.13339133880993</v>
      </c>
      <c r="AV42" s="137">
        <f t="shared" si="9"/>
        <v>669.13339133880993</v>
      </c>
      <c r="AW42" s="137">
        <f t="shared" si="9"/>
        <v>669.13339133880993</v>
      </c>
      <c r="AX42" s="137">
        <f t="shared" si="9"/>
        <v>669.13339133880993</v>
      </c>
      <c r="AY42" s="137">
        <f t="shared" si="9"/>
        <v>669.13339133880993</v>
      </c>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row>
    <row r="43" spans="1:98" s="138" customFormat="1" x14ac:dyDescent="0.45">
      <c r="A43" s="143" t="s">
        <v>84</v>
      </c>
      <c r="B43" s="62">
        <f>B38-B40+B41</f>
        <v>0</v>
      </c>
      <c r="C43" s="62">
        <f>C38-C40+C41+C10+C42</f>
        <v>2230.4446377960335</v>
      </c>
      <c r="D43" s="62">
        <f>D38-D40+D41+D10+D42</f>
        <v>2121.1528505440278</v>
      </c>
      <c r="E43" s="62">
        <f t="shared" ref="E43:F43" si="11">E38-E40+E41+E10+E42</f>
        <v>2019.5114883996625</v>
      </c>
      <c r="F43" s="62">
        <f t="shared" si="11"/>
        <v>1924.9850216054028</v>
      </c>
      <c r="G43" s="62">
        <f>G38-G40+G41+G10+G42</f>
        <v>1837.0754074867414</v>
      </c>
      <c r="H43" s="62">
        <f>(H38-H40)+H41+H10+H42</f>
        <v>5470.2223188980161</v>
      </c>
      <c r="I43" s="62">
        <f t="shared" ref="I43:AE43" si="12">(I38-I40)+I41+I10+I42</f>
        <v>5470.2223188980161</v>
      </c>
      <c r="J43" s="62">
        <f t="shared" si="12"/>
        <v>5470.2223188980161</v>
      </c>
      <c r="K43" s="62">
        <f t="shared" si="12"/>
        <v>5470.2223188980161</v>
      </c>
      <c r="L43" s="62">
        <f t="shared" si="12"/>
        <v>5470.2223188980161</v>
      </c>
      <c r="M43" s="62">
        <f t="shared" si="12"/>
        <v>5470.2223188980161</v>
      </c>
      <c r="N43" s="62">
        <f t="shared" si="12"/>
        <v>5470.2223188980161</v>
      </c>
      <c r="O43" s="62">
        <f t="shared" si="12"/>
        <v>5470.2223188980161</v>
      </c>
      <c r="P43" s="62">
        <f t="shared" si="12"/>
        <v>5470.2223188980161</v>
      </c>
      <c r="Q43" s="62">
        <f t="shared" si="12"/>
        <v>5470.2223188980161</v>
      </c>
      <c r="R43" s="62">
        <f t="shared" si="12"/>
        <v>5470.2223188980161</v>
      </c>
      <c r="S43" s="62">
        <f t="shared" si="12"/>
        <v>5470.2223188980161</v>
      </c>
      <c r="T43" s="62">
        <f t="shared" si="12"/>
        <v>5470.2223188980161</v>
      </c>
      <c r="U43" s="62">
        <f t="shared" si="12"/>
        <v>5470.2223188980161</v>
      </c>
      <c r="V43" s="62">
        <f t="shared" si="12"/>
        <v>5470.2223188980161</v>
      </c>
      <c r="W43" s="62">
        <f t="shared" si="12"/>
        <v>5470.2223188980161</v>
      </c>
      <c r="X43" s="62">
        <f t="shared" si="12"/>
        <v>5470.2223188980161</v>
      </c>
      <c r="Y43" s="62">
        <f t="shared" si="12"/>
        <v>5470.2223188980161</v>
      </c>
      <c r="Z43" s="62">
        <f t="shared" si="12"/>
        <v>5470.2223188980161</v>
      </c>
      <c r="AA43" s="62">
        <f t="shared" si="12"/>
        <v>5470.2223188980161</v>
      </c>
      <c r="AB43" s="62">
        <f t="shared" si="12"/>
        <v>5470.2223188980161</v>
      </c>
      <c r="AC43" s="62">
        <f t="shared" si="12"/>
        <v>5470.2223188980161</v>
      </c>
      <c r="AD43" s="62">
        <f t="shared" si="12"/>
        <v>5470.2223188980161</v>
      </c>
      <c r="AE43" s="62">
        <f t="shared" si="12"/>
        <v>5470.2223188980161</v>
      </c>
      <c r="AF43" s="62">
        <f>(AF38-AF40)+AF41+AF10+AF42</f>
        <v>5470.2223188980161</v>
      </c>
      <c r="AG43" s="62">
        <f t="shared" ref="AG43:AY43" si="13">(AG38-AG40)+AG41+AG10+AG42</f>
        <v>5470.2223188980161</v>
      </c>
      <c r="AH43" s="62">
        <f t="shared" si="13"/>
        <v>5470.2223188980161</v>
      </c>
      <c r="AI43" s="62">
        <f t="shared" si="13"/>
        <v>5470.2223188980161</v>
      </c>
      <c r="AJ43" s="62">
        <f t="shared" si="13"/>
        <v>5470.2223188980161</v>
      </c>
      <c r="AK43" s="62">
        <f t="shared" si="13"/>
        <v>5470.2223188980161</v>
      </c>
      <c r="AL43" s="62">
        <f t="shared" si="13"/>
        <v>5470.2223188980161</v>
      </c>
      <c r="AM43" s="62">
        <f t="shared" si="13"/>
        <v>5470.2223188980161</v>
      </c>
      <c r="AN43" s="62">
        <f t="shared" si="13"/>
        <v>5470.2223188980161</v>
      </c>
      <c r="AO43" s="62">
        <f t="shared" si="13"/>
        <v>5470.2223188980161</v>
      </c>
      <c r="AP43" s="62">
        <f t="shared" si="13"/>
        <v>5470.2223188980161</v>
      </c>
      <c r="AQ43" s="62">
        <f t="shared" si="13"/>
        <v>5470.2223188980161</v>
      </c>
      <c r="AR43" s="62">
        <f t="shared" si="13"/>
        <v>5470.2223188980161</v>
      </c>
      <c r="AS43" s="62">
        <f t="shared" si="13"/>
        <v>5470.2223188980161</v>
      </c>
      <c r="AT43" s="62">
        <f t="shared" si="13"/>
        <v>5470.2223188980161</v>
      </c>
      <c r="AU43" s="62">
        <f t="shared" si="13"/>
        <v>5470.2223188980161</v>
      </c>
      <c r="AV43" s="62">
        <f t="shared" si="13"/>
        <v>5470.2223188980161</v>
      </c>
      <c r="AW43" s="62">
        <f t="shared" si="13"/>
        <v>5470.2223188980161</v>
      </c>
      <c r="AX43" s="62">
        <f t="shared" si="13"/>
        <v>5470.2223188980161</v>
      </c>
      <c r="AY43" s="62">
        <f t="shared" si="13"/>
        <v>5470.2223188980161</v>
      </c>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row>
    <row r="44" spans="1:98" s="138" customFormat="1" x14ac:dyDescent="0.45">
      <c r="A44" s="136"/>
      <c r="B44" s="136"/>
      <c r="C44" s="137"/>
      <c r="D44" s="136"/>
      <c r="E44" s="136"/>
      <c r="F44" s="137"/>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row>
    <row r="45" spans="1:98" s="138" customFormat="1" ht="14.65" thickBot="1" x14ac:dyDescent="0.5">
      <c r="A45" s="150" t="s">
        <v>119</v>
      </c>
      <c r="B45" s="151">
        <f>B16+B43+B35</f>
        <v>41693.446377960332</v>
      </c>
      <c r="C45" s="151">
        <f>C16+C35+C43</f>
        <v>8140.4446377960339</v>
      </c>
      <c r="D45" s="151">
        <f>D16+D35+D43</f>
        <v>7153.6528505440274</v>
      </c>
      <c r="E45" s="151">
        <f t="shared" ref="E45:AY45" si="14">E16+E35+E43</f>
        <v>7052.011488399663</v>
      </c>
      <c r="F45" s="151">
        <f t="shared" si="14"/>
        <v>6957.4850216054028</v>
      </c>
      <c r="G45" s="151">
        <f t="shared" si="14"/>
        <v>6869.5754074867418</v>
      </c>
      <c r="H45" s="151">
        <f t="shared" si="14"/>
        <v>14857.722318898017</v>
      </c>
      <c r="I45" s="151">
        <f t="shared" si="14"/>
        <v>14857.722318898017</v>
      </c>
      <c r="J45" s="151">
        <f t="shared" si="14"/>
        <v>14857.722318898017</v>
      </c>
      <c r="K45" s="151">
        <f t="shared" si="14"/>
        <v>14857.722318898017</v>
      </c>
      <c r="L45" s="151">
        <f t="shared" si="14"/>
        <v>14857.722318898017</v>
      </c>
      <c r="M45" s="151">
        <f t="shared" si="14"/>
        <v>14857.722318898017</v>
      </c>
      <c r="N45" s="151">
        <f t="shared" si="14"/>
        <v>14857.722318898017</v>
      </c>
      <c r="O45" s="151">
        <f t="shared" si="14"/>
        <v>14857.722318898017</v>
      </c>
      <c r="P45" s="151">
        <f t="shared" si="14"/>
        <v>14857.722318898017</v>
      </c>
      <c r="Q45" s="151">
        <f t="shared" si="14"/>
        <v>14857.722318898017</v>
      </c>
      <c r="R45" s="151">
        <f t="shared" si="14"/>
        <v>14857.722318898017</v>
      </c>
      <c r="S45" s="151">
        <f t="shared" si="14"/>
        <v>14857.722318898017</v>
      </c>
      <c r="T45" s="151">
        <f t="shared" si="14"/>
        <v>14857.722318898017</v>
      </c>
      <c r="U45" s="151">
        <f t="shared" si="14"/>
        <v>14857.722318898017</v>
      </c>
      <c r="V45" s="151">
        <f t="shared" si="14"/>
        <v>14857.722318898017</v>
      </c>
      <c r="W45" s="151">
        <f t="shared" si="14"/>
        <v>14857.722318898017</v>
      </c>
      <c r="X45" s="151">
        <f t="shared" si="14"/>
        <v>14857.722318898017</v>
      </c>
      <c r="Y45" s="151">
        <f t="shared" si="14"/>
        <v>14857.722318898017</v>
      </c>
      <c r="Z45" s="151">
        <f t="shared" si="14"/>
        <v>14857.722318898017</v>
      </c>
      <c r="AA45" s="151">
        <f t="shared" si="14"/>
        <v>14857.722318898017</v>
      </c>
      <c r="AB45" s="151">
        <f t="shared" si="14"/>
        <v>14857.722318898017</v>
      </c>
      <c r="AC45" s="151">
        <f t="shared" si="14"/>
        <v>14857.722318898017</v>
      </c>
      <c r="AD45" s="151">
        <f t="shared" si="14"/>
        <v>14857.722318898017</v>
      </c>
      <c r="AE45" s="151">
        <f t="shared" si="14"/>
        <v>14857.722318898017</v>
      </c>
      <c r="AF45" s="151">
        <f t="shared" si="14"/>
        <v>14857.722318898017</v>
      </c>
      <c r="AG45" s="151">
        <f t="shared" si="14"/>
        <v>14857.722318898017</v>
      </c>
      <c r="AH45" s="151">
        <f t="shared" si="14"/>
        <v>14857.722318898017</v>
      </c>
      <c r="AI45" s="151">
        <f t="shared" si="14"/>
        <v>14857.722318898017</v>
      </c>
      <c r="AJ45" s="151">
        <f t="shared" si="14"/>
        <v>14857.722318898017</v>
      </c>
      <c r="AK45" s="151">
        <f t="shared" si="14"/>
        <v>14857.722318898017</v>
      </c>
      <c r="AL45" s="151">
        <f t="shared" si="14"/>
        <v>14857.722318898017</v>
      </c>
      <c r="AM45" s="151">
        <f t="shared" si="14"/>
        <v>14857.722318898017</v>
      </c>
      <c r="AN45" s="151">
        <f t="shared" si="14"/>
        <v>14857.722318898017</v>
      </c>
      <c r="AO45" s="151">
        <f t="shared" si="14"/>
        <v>14857.722318898017</v>
      </c>
      <c r="AP45" s="151">
        <f t="shared" si="14"/>
        <v>14857.722318898017</v>
      </c>
      <c r="AQ45" s="151">
        <f t="shared" si="14"/>
        <v>14857.722318898017</v>
      </c>
      <c r="AR45" s="151">
        <f t="shared" si="14"/>
        <v>14857.722318898017</v>
      </c>
      <c r="AS45" s="151">
        <f t="shared" si="14"/>
        <v>14857.722318898017</v>
      </c>
      <c r="AT45" s="151">
        <f t="shared" si="14"/>
        <v>14857.722318898017</v>
      </c>
      <c r="AU45" s="151">
        <f t="shared" si="14"/>
        <v>14857.722318898017</v>
      </c>
      <c r="AV45" s="151">
        <f t="shared" si="14"/>
        <v>14857.722318898017</v>
      </c>
      <c r="AW45" s="151">
        <f t="shared" si="14"/>
        <v>14857.722318898017</v>
      </c>
      <c r="AX45" s="151">
        <f t="shared" si="14"/>
        <v>14857.722318898017</v>
      </c>
      <c r="AY45" s="151">
        <f t="shared" si="14"/>
        <v>14857.722318898017</v>
      </c>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row>
    <row r="46" spans="1:98" s="138" customFormat="1" x14ac:dyDescent="0.45">
      <c r="A46" s="136"/>
      <c r="B46" s="183"/>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10"/>
      <c r="CT46" s="210"/>
    </row>
    <row r="47" spans="1:98" s="138" customFormat="1" x14ac:dyDescent="0.45">
      <c r="A47" s="45" t="s">
        <v>113</v>
      </c>
      <c r="B47" s="218" t="s">
        <v>85</v>
      </c>
      <c r="C47" s="218" t="s">
        <v>85</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row>
    <row r="48" spans="1:98" s="138" customFormat="1" x14ac:dyDescent="0.45">
      <c r="A48"/>
      <c r="B48" s="219" t="s">
        <v>91</v>
      </c>
      <c r="C48" s="219" t="s">
        <v>92</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row>
    <row r="49" spans="1:98" s="138" customFormat="1" x14ac:dyDescent="0.45">
      <c r="A49" t="s">
        <v>86</v>
      </c>
      <c r="B49" s="134">
        <f>IF(Dashboard_2!H59=Data_Lists!B11,B16+NPV(Dashboard_2!$H$57,Model_2!C16:F16),IF(Dashboard_2!H59=Data_Lists!B12,B16+NPV(Dashboard_2!$H$57,C16:K16),IF(Dashboard_2!H59=Data_Lists!B13,B16+NPV(Dashboard_2!$H$57,C16:U16),IF(Dashboard_2!H59=Data_Lists!B14,B16+NPV(Dashboard_2!$H$57,C16:AE16),IF(Dashboard_2!H59=Data_Lists!B15,B16+NPV(Dashboard_2!$H$57,C16:AO16),IF(Dashboard_2!H59=Data_Lists!B16,B16+NPV(Dashboard_2!$H$57,C16:AY16)))))))</f>
        <v>58167.357103368318</v>
      </c>
      <c r="C49" s="220">
        <f>B49/B$52</f>
        <v>0.30136875027981286</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row>
    <row r="50" spans="1:98" s="138" customFormat="1" x14ac:dyDescent="0.45">
      <c r="A50" t="s">
        <v>296</v>
      </c>
      <c r="B50" s="134">
        <f>IF(Dashboard_2!H59=Data_Lists!B11,B35+NPV(Dashboard_2!$H$57,Model_2!C35:F35),IF(Dashboard_2!H59=Data_Lists!B12,B35+NPV(Dashboard_2!$H$57,C35:K35),IF(Dashboard_2!H59=Data_Lists!B13,B35+NPV(Dashboard_2!$H$57,C35:U35),IF(Dashboard_2!H59=Data_Lists!B14,B35+NPV(Dashboard_2!$H$57,C35:AE35),IF(Dashboard_2!H59=Data_Lists!B15,B35+NPV(Dashboard_2!$H$57,C35:AO35),IF(Dashboard_2!H59=Data_Lists!B16,B35+NPV(Dashboard_2!$H$57,C35:AY35)))))))</f>
        <v>81746.488196856648</v>
      </c>
      <c r="C50" s="220">
        <f>B50/B$52</f>
        <v>0.42353371744001012</v>
      </c>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row>
    <row r="51" spans="1:98" s="138" customFormat="1" x14ac:dyDescent="0.45">
      <c r="A51" t="s">
        <v>88</v>
      </c>
      <c r="B51" s="134">
        <f>IF(Dashboard_2!H59=Data_Lists!B11,B43+NPV(Dashboard_2!$H$57,C43:F43),IF(Dashboard_2!H59=Data_Lists!B12,B43+NPV(Dashboard_2!$H$57,C43:K43),IF(Dashboard_2!H59=Data_Lists!B13,B43+NPV(Dashboard_2!$H$57,C43:U43),IF(Dashboard_2!H59=Data_Lists!B14,B43+NPV(Dashboard_2!$H$57,C43:AE43),IF(Dashboard_2!H59=Data_Lists!B15,B43+NPV(Dashboard_2!$H$57,C43:AO43),IF(Dashboard_2!H59=Data_Lists!B16,B43+NPV(Dashboard_2!$H$57,C43:AY43)))))))</f>
        <v>53096.734095818836</v>
      </c>
      <c r="C51" s="220">
        <f>B51/B$52</f>
        <v>0.27509753228017708</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row>
    <row r="52" spans="1:98" s="138" customFormat="1" ht="14.65" thickBot="1" x14ac:dyDescent="0.5">
      <c r="A52" s="43" t="s">
        <v>114</v>
      </c>
      <c r="B52" s="221">
        <f>SUM(B49:B51)</f>
        <v>193010.57939604379</v>
      </c>
      <c r="C52" s="222">
        <f>B52/B$52</f>
        <v>1</v>
      </c>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row>
    <row r="53" spans="1:98" s="138" customFormat="1" x14ac:dyDescent="0.45">
      <c r="A53"/>
      <c r="B53" s="136" t="s">
        <v>89</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row>
    <row r="54" spans="1:98" s="138" customFormat="1" x14ac:dyDescent="0.45">
      <c r="A54" t="s">
        <v>384</v>
      </c>
      <c r="B54" s="136">
        <v>0</v>
      </c>
      <c r="C54" s="223">
        <f>B54+1</f>
        <v>1</v>
      </c>
      <c r="D54" s="223">
        <f t="shared" ref="D54:AY54" si="15">C54+1</f>
        <v>2</v>
      </c>
      <c r="E54" s="223">
        <f t="shared" si="15"/>
        <v>3</v>
      </c>
      <c r="F54" s="223">
        <f t="shared" si="15"/>
        <v>4</v>
      </c>
      <c r="G54" s="223">
        <f t="shared" si="15"/>
        <v>5</v>
      </c>
      <c r="H54" s="223">
        <f t="shared" si="15"/>
        <v>6</v>
      </c>
      <c r="I54" s="223">
        <f t="shared" si="15"/>
        <v>7</v>
      </c>
      <c r="J54" s="223">
        <f t="shared" si="15"/>
        <v>8</v>
      </c>
      <c r="K54" s="223">
        <f t="shared" si="15"/>
        <v>9</v>
      </c>
      <c r="L54" s="223">
        <f t="shared" si="15"/>
        <v>10</v>
      </c>
      <c r="M54" s="223">
        <f t="shared" si="15"/>
        <v>11</v>
      </c>
      <c r="N54" s="223">
        <f t="shared" si="15"/>
        <v>12</v>
      </c>
      <c r="O54" s="223">
        <f t="shared" si="15"/>
        <v>13</v>
      </c>
      <c r="P54" s="223">
        <f t="shared" si="15"/>
        <v>14</v>
      </c>
      <c r="Q54" s="223">
        <f t="shared" si="15"/>
        <v>15</v>
      </c>
      <c r="R54" s="223">
        <f t="shared" si="15"/>
        <v>16</v>
      </c>
      <c r="S54" s="223">
        <f t="shared" si="15"/>
        <v>17</v>
      </c>
      <c r="T54" s="223">
        <f t="shared" si="15"/>
        <v>18</v>
      </c>
      <c r="U54" s="223">
        <f t="shared" si="15"/>
        <v>19</v>
      </c>
      <c r="V54" s="223">
        <f t="shared" si="15"/>
        <v>20</v>
      </c>
      <c r="W54" s="223">
        <f t="shared" si="15"/>
        <v>21</v>
      </c>
      <c r="X54" s="223">
        <f t="shared" si="15"/>
        <v>22</v>
      </c>
      <c r="Y54" s="223">
        <f t="shared" si="15"/>
        <v>23</v>
      </c>
      <c r="Z54" s="223">
        <f t="shared" si="15"/>
        <v>24</v>
      </c>
      <c r="AA54" s="223">
        <f t="shared" si="15"/>
        <v>25</v>
      </c>
      <c r="AB54" s="223">
        <f t="shared" si="15"/>
        <v>26</v>
      </c>
      <c r="AC54" s="223">
        <f t="shared" si="15"/>
        <v>27</v>
      </c>
      <c r="AD54" s="223">
        <f t="shared" si="15"/>
        <v>28</v>
      </c>
      <c r="AE54" s="223">
        <f t="shared" si="15"/>
        <v>29</v>
      </c>
      <c r="AF54" s="223">
        <f t="shared" si="15"/>
        <v>30</v>
      </c>
      <c r="AG54" s="223">
        <f t="shared" si="15"/>
        <v>31</v>
      </c>
      <c r="AH54" s="223">
        <f t="shared" si="15"/>
        <v>32</v>
      </c>
      <c r="AI54" s="223">
        <f t="shared" si="15"/>
        <v>33</v>
      </c>
      <c r="AJ54" s="223">
        <f t="shared" si="15"/>
        <v>34</v>
      </c>
      <c r="AK54" s="223">
        <f t="shared" si="15"/>
        <v>35</v>
      </c>
      <c r="AL54" s="223">
        <f t="shared" si="15"/>
        <v>36</v>
      </c>
      <c r="AM54" s="223">
        <f t="shared" si="15"/>
        <v>37</v>
      </c>
      <c r="AN54" s="223">
        <f t="shared" si="15"/>
        <v>38</v>
      </c>
      <c r="AO54" s="223">
        <f t="shared" si="15"/>
        <v>39</v>
      </c>
      <c r="AP54" s="223">
        <f t="shared" si="15"/>
        <v>40</v>
      </c>
      <c r="AQ54" s="223">
        <f t="shared" si="15"/>
        <v>41</v>
      </c>
      <c r="AR54" s="223">
        <f t="shared" si="15"/>
        <v>42</v>
      </c>
      <c r="AS54" s="223">
        <f t="shared" si="15"/>
        <v>43</v>
      </c>
      <c r="AT54" s="223">
        <f t="shared" si="15"/>
        <v>44</v>
      </c>
      <c r="AU54" s="223">
        <f t="shared" si="15"/>
        <v>45</v>
      </c>
      <c r="AV54" s="223">
        <f t="shared" si="15"/>
        <v>46</v>
      </c>
      <c r="AW54" s="223">
        <f t="shared" si="15"/>
        <v>47</v>
      </c>
      <c r="AX54" s="223">
        <f t="shared" si="15"/>
        <v>48</v>
      </c>
      <c r="AY54" s="223">
        <f t="shared" si="15"/>
        <v>49</v>
      </c>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3"/>
      <c r="CC54" s="223"/>
      <c r="CD54" s="223"/>
      <c r="CE54" s="223"/>
      <c r="CF54" s="223"/>
      <c r="CG54" s="223"/>
      <c r="CH54" s="223"/>
      <c r="CI54" s="223"/>
      <c r="CJ54" s="223"/>
      <c r="CK54" s="223"/>
      <c r="CL54" s="223"/>
      <c r="CM54" s="223"/>
      <c r="CN54" s="223"/>
      <c r="CO54" s="223"/>
      <c r="CP54" s="223"/>
      <c r="CQ54" s="223"/>
      <c r="CR54" s="223"/>
      <c r="CS54" s="223"/>
      <c r="CT54" s="223"/>
    </row>
    <row r="55" spans="1:98" s="138" customFormat="1" x14ac:dyDescent="0.45">
      <c r="A55" s="45" t="s">
        <v>90</v>
      </c>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row>
    <row r="56" spans="1:98" s="138" customFormat="1" x14ac:dyDescent="0.45">
      <c r="A56"/>
      <c r="B56" s="225" t="str">
        <f t="shared" ref="B56:AY56" si="16">B2</f>
        <v>Year 1</v>
      </c>
      <c r="C56" s="225" t="str">
        <f t="shared" si="16"/>
        <v>Year 2</v>
      </c>
      <c r="D56" s="225" t="str">
        <f t="shared" si="16"/>
        <v>Year 3</v>
      </c>
      <c r="E56" s="225" t="str">
        <f t="shared" si="16"/>
        <v>Year 4</v>
      </c>
      <c r="F56" s="225" t="str">
        <f t="shared" si="16"/>
        <v>Year 5</v>
      </c>
      <c r="G56" s="225" t="str">
        <f t="shared" si="16"/>
        <v>Year 6</v>
      </c>
      <c r="H56" s="225" t="str">
        <f t="shared" si="16"/>
        <v>Year 7</v>
      </c>
      <c r="I56" s="225" t="str">
        <f t="shared" si="16"/>
        <v>Year 8</v>
      </c>
      <c r="J56" s="225" t="str">
        <f t="shared" si="16"/>
        <v>Year 9</v>
      </c>
      <c r="K56" s="225" t="str">
        <f t="shared" si="16"/>
        <v>Year 10</v>
      </c>
      <c r="L56" s="225" t="str">
        <f t="shared" si="16"/>
        <v>Year 11</v>
      </c>
      <c r="M56" s="225" t="str">
        <f t="shared" si="16"/>
        <v>Year 12</v>
      </c>
      <c r="N56" s="225" t="str">
        <f t="shared" si="16"/>
        <v>Year 13</v>
      </c>
      <c r="O56" s="225" t="str">
        <f t="shared" si="16"/>
        <v>Year 14</v>
      </c>
      <c r="P56" s="225" t="str">
        <f t="shared" si="16"/>
        <v>Year 15</v>
      </c>
      <c r="Q56" s="225" t="str">
        <f t="shared" si="16"/>
        <v>Year 16</v>
      </c>
      <c r="R56" s="225" t="str">
        <f t="shared" si="16"/>
        <v>Year 17</v>
      </c>
      <c r="S56" s="225" t="str">
        <f t="shared" si="16"/>
        <v>Year 18</v>
      </c>
      <c r="T56" s="225" t="str">
        <f t="shared" si="16"/>
        <v>Year 19</v>
      </c>
      <c r="U56" s="225" t="str">
        <f t="shared" si="16"/>
        <v>Year 20</v>
      </c>
      <c r="V56" s="225" t="str">
        <f t="shared" si="16"/>
        <v>Year 21</v>
      </c>
      <c r="W56" s="225" t="str">
        <f t="shared" si="16"/>
        <v>Year 22</v>
      </c>
      <c r="X56" s="225" t="str">
        <f t="shared" si="16"/>
        <v>Year 23</v>
      </c>
      <c r="Y56" s="225" t="str">
        <f t="shared" si="16"/>
        <v>Year 24</v>
      </c>
      <c r="Z56" s="225" t="str">
        <f t="shared" si="16"/>
        <v>Year 25</v>
      </c>
      <c r="AA56" s="225" t="str">
        <f t="shared" si="16"/>
        <v>Year 26</v>
      </c>
      <c r="AB56" s="225" t="str">
        <f t="shared" si="16"/>
        <v>Year 27</v>
      </c>
      <c r="AC56" s="225" t="str">
        <f t="shared" si="16"/>
        <v>Year 28</v>
      </c>
      <c r="AD56" s="225" t="str">
        <f t="shared" si="16"/>
        <v>Year 29</v>
      </c>
      <c r="AE56" s="225" t="str">
        <f t="shared" si="16"/>
        <v>Year 30</v>
      </c>
      <c r="AF56" s="225" t="str">
        <f t="shared" si="16"/>
        <v>Year 31</v>
      </c>
      <c r="AG56" s="225" t="str">
        <f t="shared" si="16"/>
        <v>Year 32</v>
      </c>
      <c r="AH56" s="225" t="str">
        <f t="shared" si="16"/>
        <v>Year 33</v>
      </c>
      <c r="AI56" s="225" t="str">
        <f t="shared" si="16"/>
        <v>Year 34</v>
      </c>
      <c r="AJ56" s="225" t="str">
        <f t="shared" si="16"/>
        <v>Year 35</v>
      </c>
      <c r="AK56" s="225" t="str">
        <f t="shared" si="16"/>
        <v>Year 36</v>
      </c>
      <c r="AL56" s="225" t="str">
        <f t="shared" si="16"/>
        <v>Year 37</v>
      </c>
      <c r="AM56" s="225" t="str">
        <f t="shared" si="16"/>
        <v>Year 38</v>
      </c>
      <c r="AN56" s="225" t="str">
        <f t="shared" si="16"/>
        <v>Year 39</v>
      </c>
      <c r="AO56" s="225" t="str">
        <f t="shared" si="16"/>
        <v>Year 40</v>
      </c>
      <c r="AP56" s="225" t="str">
        <f t="shared" si="16"/>
        <v>Year 41</v>
      </c>
      <c r="AQ56" s="225" t="str">
        <f t="shared" si="16"/>
        <v>Year 42</v>
      </c>
      <c r="AR56" s="225" t="str">
        <f t="shared" si="16"/>
        <v>Year 43</v>
      </c>
      <c r="AS56" s="225" t="str">
        <f t="shared" si="16"/>
        <v>Year 44</v>
      </c>
      <c r="AT56" s="225" t="str">
        <f t="shared" si="16"/>
        <v>Year 45</v>
      </c>
      <c r="AU56" s="225" t="str">
        <f t="shared" si="16"/>
        <v>Year 46</v>
      </c>
      <c r="AV56" s="225" t="str">
        <f t="shared" si="16"/>
        <v>Year 47</v>
      </c>
      <c r="AW56" s="225" t="str">
        <f t="shared" si="16"/>
        <v>Year 48</v>
      </c>
      <c r="AX56" s="225" t="str">
        <f t="shared" si="16"/>
        <v>Year 49</v>
      </c>
      <c r="AY56" s="225" t="str">
        <f t="shared" si="16"/>
        <v>Year 50</v>
      </c>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6"/>
      <c r="CK56" s="226"/>
      <c r="CL56" s="226"/>
      <c r="CM56" s="226"/>
      <c r="CN56" s="226"/>
      <c r="CO56" s="226"/>
      <c r="CP56" s="226"/>
      <c r="CQ56" s="226"/>
      <c r="CR56" s="226"/>
      <c r="CS56" s="226"/>
      <c r="CT56" s="226"/>
    </row>
    <row r="57" spans="1:98" s="138" customFormat="1" x14ac:dyDescent="0.45">
      <c r="A57" s="41" t="str">
        <f t="shared" ref="A57:A68" si="17">A4</f>
        <v>Concrete cutting ($)</v>
      </c>
      <c r="B57" s="134">
        <f>B4*(1+Dashboard_2!$H$58)^Model_2!B$54</f>
        <v>0</v>
      </c>
      <c r="C57" s="134">
        <f>C4*(1+Dashboard_2!$H$58)^Model_2!C$54</f>
        <v>0</v>
      </c>
      <c r="D57" s="134">
        <f>D4*(1+Dashboard_2!$H$58)^Model_2!D$54</f>
        <v>0</v>
      </c>
      <c r="E57" s="134">
        <f>E4*(1+Dashboard_2!$H$58)^Model_2!E$54</f>
        <v>0</v>
      </c>
      <c r="F57" s="134">
        <f>F4*(1+Dashboard_2!$H$58)^Model_2!F$54</f>
        <v>0</v>
      </c>
      <c r="G57" s="134">
        <f>G4*(1+Dashboard_2!$H$58)^Model_2!G$54</f>
        <v>0</v>
      </c>
      <c r="H57" s="134">
        <f>H4*(1+Dashboard_2!$H$58)^Model_2!H$54</f>
        <v>0</v>
      </c>
      <c r="I57" s="134">
        <f>I4*(1+Dashboard_2!$H$58)^Model_2!I$54</f>
        <v>0</v>
      </c>
      <c r="J57" s="134">
        <f>J4*(1+Dashboard_2!$H$58)^Model_2!J$54</f>
        <v>0</v>
      </c>
      <c r="K57" s="134">
        <f>K4*(1+Dashboard_2!$H$58)^Model_2!K$54</f>
        <v>0</v>
      </c>
      <c r="L57" s="134">
        <f>L4*(1+Dashboard_2!$H$58)^Model_2!L$54</f>
        <v>0</v>
      </c>
      <c r="M57" s="134">
        <f>M4*(1+Dashboard_2!$H$58)^Model_2!M$54</f>
        <v>0</v>
      </c>
      <c r="N57" s="134">
        <f>N4*(1+Dashboard_2!$H$58)^Model_2!N$54</f>
        <v>0</v>
      </c>
      <c r="O57" s="134">
        <f>O4*(1+Dashboard_2!$H$58)^Model_2!O$54</f>
        <v>0</v>
      </c>
      <c r="P57" s="134">
        <f>P4*(1+Dashboard_2!$H$58)^Model_2!P$54</f>
        <v>0</v>
      </c>
      <c r="Q57" s="134">
        <f>Q4*(1+Dashboard_2!$H$58)^Model_2!Q$54</f>
        <v>0</v>
      </c>
      <c r="R57" s="134">
        <f>R4*(1+Dashboard_2!$H$58)^Model_2!R$54</f>
        <v>0</v>
      </c>
      <c r="S57" s="134">
        <f>S4*(1+Dashboard_2!$H$58)^Model_2!S$54</f>
        <v>0</v>
      </c>
      <c r="T57" s="134">
        <f>T4*(1+Dashboard_2!$H$58)^Model_2!T$54</f>
        <v>0</v>
      </c>
      <c r="U57" s="134">
        <f>U4*(1+Dashboard_2!$H$58)^Model_2!U$54</f>
        <v>0</v>
      </c>
      <c r="V57" s="134">
        <f>V4*(1+Dashboard_2!$H$58)^Model_2!V$54</f>
        <v>0</v>
      </c>
      <c r="W57" s="134">
        <f>W4*(1+Dashboard_2!$H$58)^Model_2!W$54</f>
        <v>0</v>
      </c>
      <c r="X57" s="134">
        <f>X4*(1+Dashboard_2!$H$58)^Model_2!X$54</f>
        <v>0</v>
      </c>
      <c r="Y57" s="134">
        <f>Y4*(1+Dashboard_2!$H$58)^Model_2!Y$54</f>
        <v>0</v>
      </c>
      <c r="Z57" s="134">
        <f>Z4*(1+Dashboard_2!$H$58)^Model_2!Z$54</f>
        <v>0</v>
      </c>
      <c r="AA57" s="134">
        <f>AA4*(1+Dashboard_2!$H$58)^Model_2!AA$54</f>
        <v>0</v>
      </c>
      <c r="AB57" s="134">
        <f>AB4*(1+Dashboard_2!$H$58)^Model_2!AB$54</f>
        <v>0</v>
      </c>
      <c r="AC57" s="134">
        <f>AC4*(1+Dashboard_2!$H$58)^Model_2!AC$54</f>
        <v>0</v>
      </c>
      <c r="AD57" s="134">
        <f>AD4*(1+Dashboard_2!$H$58)^Model_2!AD$54</f>
        <v>0</v>
      </c>
      <c r="AE57" s="134">
        <f>AE4*(1+Dashboard_2!$H$58)^Model_2!AE$54</f>
        <v>0</v>
      </c>
      <c r="AF57" s="134">
        <f>AF4*(1+Dashboard_2!$H$58)^Model_2!AF$54</f>
        <v>0</v>
      </c>
      <c r="AG57" s="134">
        <f>AG4*(1+Dashboard_2!$H$58)^Model_2!AG$54</f>
        <v>0</v>
      </c>
      <c r="AH57" s="134">
        <f>AH4*(1+Dashboard_2!$H$58)^Model_2!AH$54</f>
        <v>0</v>
      </c>
      <c r="AI57" s="134">
        <f>AI4*(1+Dashboard_2!$H$58)^Model_2!AI$54</f>
        <v>0</v>
      </c>
      <c r="AJ57" s="134">
        <f>AJ4*(1+Dashboard_2!$H$58)^Model_2!AJ$54</f>
        <v>0</v>
      </c>
      <c r="AK57" s="134">
        <f>AK4*(1+Dashboard_2!$H$58)^Model_2!AK$54</f>
        <v>0</v>
      </c>
      <c r="AL57" s="134">
        <f>AL4*(1+Dashboard_2!$H$58)^Model_2!AL$54</f>
        <v>0</v>
      </c>
      <c r="AM57" s="134">
        <f>AM4*(1+Dashboard_2!$H$58)^Model_2!AM$54</f>
        <v>0</v>
      </c>
      <c r="AN57" s="134">
        <f>AN4*(1+Dashboard_2!$H$58)^Model_2!AN$54</f>
        <v>0</v>
      </c>
      <c r="AO57" s="134">
        <f>AO4*(1+Dashboard_2!$H$58)^Model_2!AO$54</f>
        <v>0</v>
      </c>
      <c r="AP57" s="134">
        <f>AP4*(1+Dashboard_2!$H$58)^Model_2!AP$54</f>
        <v>0</v>
      </c>
      <c r="AQ57" s="134">
        <f>AQ4*(1+Dashboard_2!$H$58)^Model_2!AQ$54</f>
        <v>0</v>
      </c>
      <c r="AR57" s="134">
        <f>AR4*(1+Dashboard_2!$H$58)^Model_2!AR$54</f>
        <v>0</v>
      </c>
      <c r="AS57" s="134">
        <f>AS4*(1+Dashboard_2!$H$58)^Model_2!AS$54</f>
        <v>0</v>
      </c>
      <c r="AT57" s="134">
        <f>AT4*(1+Dashboard_2!$H$58)^Model_2!AT$54</f>
        <v>0</v>
      </c>
      <c r="AU57" s="134">
        <f>AU4*(1+Dashboard_2!$H$58)^Model_2!AU$54</f>
        <v>0</v>
      </c>
      <c r="AV57" s="134">
        <f>AV4*(1+Dashboard_2!$H$58)^Model_2!AV$54</f>
        <v>0</v>
      </c>
      <c r="AW57" s="134">
        <f>AW4*(1+Dashboard_2!$H$58)^Model_2!AW$54</f>
        <v>0</v>
      </c>
      <c r="AX57" s="134">
        <f>AX4*(1+Dashboard_2!$H$58)^Model_2!AX$54</f>
        <v>0</v>
      </c>
      <c r="AY57" s="134">
        <f>AY4*(1+Dashboard_2!$H$58)^Model_2!AY$54</f>
        <v>0</v>
      </c>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row>
    <row r="58" spans="1:98" s="138" customFormat="1" x14ac:dyDescent="0.45">
      <c r="A58" s="41" t="str">
        <f t="shared" si="17"/>
        <v>Supply ($)</v>
      </c>
      <c r="B58" s="134">
        <f>B5*(1+Dashboard_2!$H$58)^Model_2!B$54</f>
        <v>10511.544417659999</v>
      </c>
      <c r="C58" s="134">
        <f>C5*(1+Dashboard_2!$H$58)^Model_2!C$54</f>
        <v>0</v>
      </c>
      <c r="D58" s="134">
        <f>D5*(1+Dashboard_2!$H$58)^Model_2!D$54</f>
        <v>0</v>
      </c>
      <c r="E58" s="134">
        <f>E5*(1+Dashboard_2!$H$58)^Model_2!E$54</f>
        <v>0</v>
      </c>
      <c r="F58" s="134">
        <f>F5*(1+Dashboard_2!$H$58)^Model_2!F$54</f>
        <v>0</v>
      </c>
      <c r="G58" s="134">
        <f>G5*(1+Dashboard_2!$H$58)^Model_2!G$54</f>
        <v>0</v>
      </c>
      <c r="H58" s="134">
        <f>H5*(1+Dashboard_2!$H$58)^Model_2!H$54</f>
        <v>0</v>
      </c>
      <c r="I58" s="134">
        <f>I5*(1+Dashboard_2!$H$58)^Model_2!I$54</f>
        <v>0</v>
      </c>
      <c r="J58" s="134">
        <f>J5*(1+Dashboard_2!$H$58)^Model_2!J$54</f>
        <v>0</v>
      </c>
      <c r="K58" s="134">
        <f>K5*(1+Dashboard_2!$H$58)^Model_2!K$54</f>
        <v>0</v>
      </c>
      <c r="L58" s="134">
        <f>L5*(1+Dashboard_2!$H$58)^Model_2!L$54</f>
        <v>0</v>
      </c>
      <c r="M58" s="134">
        <f>M5*(1+Dashboard_2!$H$58)^Model_2!M$54</f>
        <v>0</v>
      </c>
      <c r="N58" s="134">
        <f>N5*(1+Dashboard_2!$H$58)^Model_2!N$54</f>
        <v>0</v>
      </c>
      <c r="O58" s="134">
        <f>O5*(1+Dashboard_2!$H$58)^Model_2!O$54</f>
        <v>0</v>
      </c>
      <c r="P58" s="134">
        <f>P5*(1+Dashboard_2!$H$58)^Model_2!P$54</f>
        <v>0</v>
      </c>
      <c r="Q58" s="134">
        <f>Q5*(1+Dashboard_2!$H$58)^Model_2!Q$54</f>
        <v>0</v>
      </c>
      <c r="R58" s="134">
        <f>R5*(1+Dashboard_2!$H$58)^Model_2!R$54</f>
        <v>0</v>
      </c>
      <c r="S58" s="134">
        <f>S5*(1+Dashboard_2!$H$58)^Model_2!S$54</f>
        <v>0</v>
      </c>
      <c r="T58" s="134">
        <f>T5*(1+Dashboard_2!$H$58)^Model_2!T$54</f>
        <v>0</v>
      </c>
      <c r="U58" s="134">
        <f>U5*(1+Dashboard_2!$H$58)^Model_2!U$54</f>
        <v>0</v>
      </c>
      <c r="V58" s="134">
        <f>V5*(1+Dashboard_2!$H$58)^Model_2!V$54</f>
        <v>0</v>
      </c>
      <c r="W58" s="134">
        <f>W5*(1+Dashboard_2!$H$58)^Model_2!W$54</f>
        <v>0</v>
      </c>
      <c r="X58" s="134">
        <f>X5*(1+Dashboard_2!$H$58)^Model_2!X$54</f>
        <v>0</v>
      </c>
      <c r="Y58" s="134">
        <f>Y5*(1+Dashboard_2!$H$58)^Model_2!Y$54</f>
        <v>0</v>
      </c>
      <c r="Z58" s="134">
        <f>Z5*(1+Dashboard_2!$H$58)^Model_2!Z$54</f>
        <v>0</v>
      </c>
      <c r="AA58" s="134">
        <f>AA5*(1+Dashboard_2!$H$58)^Model_2!AA$54</f>
        <v>0</v>
      </c>
      <c r="AB58" s="134">
        <f>AB5*(1+Dashboard_2!$H$58)^Model_2!AB$54</f>
        <v>0</v>
      </c>
      <c r="AC58" s="134">
        <f>AC5*(1+Dashboard_2!$H$58)^Model_2!AC$54</f>
        <v>0</v>
      </c>
      <c r="AD58" s="134">
        <f>AD5*(1+Dashboard_2!$H$58)^Model_2!AD$54</f>
        <v>0</v>
      </c>
      <c r="AE58" s="134">
        <f>AE5*(1+Dashboard_2!$H$58)^Model_2!AE$54</f>
        <v>0</v>
      </c>
      <c r="AF58" s="134">
        <f>AF5*(1+Dashboard_2!$H$58)^Model_2!AF$54</f>
        <v>0</v>
      </c>
      <c r="AG58" s="134">
        <f>AG5*(1+Dashboard_2!$H$58)^Model_2!AG$54</f>
        <v>0</v>
      </c>
      <c r="AH58" s="134">
        <f>AH5*(1+Dashboard_2!$H$58)^Model_2!AH$54</f>
        <v>0</v>
      </c>
      <c r="AI58" s="134">
        <f>AI5*(1+Dashboard_2!$H$58)^Model_2!AI$54</f>
        <v>0</v>
      </c>
      <c r="AJ58" s="134">
        <f>AJ5*(1+Dashboard_2!$H$58)^Model_2!AJ$54</f>
        <v>0</v>
      </c>
      <c r="AK58" s="134">
        <f>AK5*(1+Dashboard_2!$H$58)^Model_2!AK$54</f>
        <v>0</v>
      </c>
      <c r="AL58" s="134">
        <f>AL5*(1+Dashboard_2!$H$58)^Model_2!AL$54</f>
        <v>0</v>
      </c>
      <c r="AM58" s="134">
        <f>AM5*(1+Dashboard_2!$H$58)^Model_2!AM$54</f>
        <v>0</v>
      </c>
      <c r="AN58" s="134">
        <f>AN5*(1+Dashboard_2!$H$58)^Model_2!AN$54</f>
        <v>0</v>
      </c>
      <c r="AO58" s="134">
        <f>AO5*(1+Dashboard_2!$H$58)^Model_2!AO$54</f>
        <v>0</v>
      </c>
      <c r="AP58" s="134">
        <f>AP5*(1+Dashboard_2!$H$58)^Model_2!AP$54</f>
        <v>0</v>
      </c>
      <c r="AQ58" s="134">
        <f>AQ5*(1+Dashboard_2!$H$58)^Model_2!AQ$54</f>
        <v>0</v>
      </c>
      <c r="AR58" s="134">
        <f>AR5*(1+Dashboard_2!$H$58)^Model_2!AR$54</f>
        <v>0</v>
      </c>
      <c r="AS58" s="134">
        <f>AS5*(1+Dashboard_2!$H$58)^Model_2!AS$54</f>
        <v>0</v>
      </c>
      <c r="AT58" s="134">
        <f>AT5*(1+Dashboard_2!$H$58)^Model_2!AT$54</f>
        <v>0</v>
      </c>
      <c r="AU58" s="134">
        <f>AU5*(1+Dashboard_2!$H$58)^Model_2!AU$54</f>
        <v>0</v>
      </c>
      <c r="AV58" s="134">
        <f>AV5*(1+Dashboard_2!$H$58)^Model_2!AV$54</f>
        <v>0</v>
      </c>
      <c r="AW58" s="134">
        <f>AW5*(1+Dashboard_2!$H$58)^Model_2!AW$54</f>
        <v>0</v>
      </c>
      <c r="AX58" s="134">
        <f>AX5*(1+Dashboard_2!$H$58)^Model_2!AX$54</f>
        <v>0</v>
      </c>
      <c r="AY58" s="134">
        <f>AY5*(1+Dashboard_2!$H$58)^Model_2!AY$54</f>
        <v>0</v>
      </c>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row>
    <row r="59" spans="1:98" s="138" customFormat="1" x14ac:dyDescent="0.45">
      <c r="A59" s="41" t="str">
        <f t="shared" si="17"/>
        <v>Tree installation ($)</v>
      </c>
      <c r="B59" s="134">
        <f>B6*(1+Dashboard_2!$H$58)^Model_2!B$54</f>
        <v>0</v>
      </c>
      <c r="C59" s="134">
        <f>C6*(1+Dashboard_2!$H$58)^Model_2!C$54</f>
        <v>0</v>
      </c>
      <c r="D59" s="134">
        <f>D6*(1+Dashboard_2!$H$58)^Model_2!D$54</f>
        <v>0</v>
      </c>
      <c r="E59" s="134">
        <f>E6*(1+Dashboard_2!$H$58)^Model_2!E$54</f>
        <v>0</v>
      </c>
      <c r="F59" s="134">
        <f>F6*(1+Dashboard_2!$H$58)^Model_2!F$54</f>
        <v>0</v>
      </c>
      <c r="G59" s="134">
        <f>G6*(1+Dashboard_2!$H$58)^Model_2!G$54</f>
        <v>0</v>
      </c>
      <c r="H59" s="134">
        <f>H6*(1+Dashboard_2!$H$58)^Model_2!H$54</f>
        <v>0</v>
      </c>
      <c r="I59" s="134">
        <f>I6*(1+Dashboard_2!$H$58)^Model_2!I$54</f>
        <v>0</v>
      </c>
      <c r="J59" s="134">
        <f>J6*(1+Dashboard_2!$H$58)^Model_2!J$54</f>
        <v>0</v>
      </c>
      <c r="K59" s="134">
        <f>K6*(1+Dashboard_2!$H$58)^Model_2!K$54</f>
        <v>0</v>
      </c>
      <c r="L59" s="134">
        <f>L6*(1+Dashboard_2!$H$58)^Model_2!L$54</f>
        <v>0</v>
      </c>
      <c r="M59" s="134">
        <f>M6*(1+Dashboard_2!$H$58)^Model_2!M$54</f>
        <v>0</v>
      </c>
      <c r="N59" s="134">
        <f>N6*(1+Dashboard_2!$H$58)^Model_2!N$54</f>
        <v>0</v>
      </c>
      <c r="O59" s="134">
        <f>O6*(1+Dashboard_2!$H$58)^Model_2!O$54</f>
        <v>0</v>
      </c>
      <c r="P59" s="134">
        <f>P6*(1+Dashboard_2!$H$58)^Model_2!P$54</f>
        <v>0</v>
      </c>
      <c r="Q59" s="134">
        <f>Q6*(1+Dashboard_2!$H$58)^Model_2!Q$54</f>
        <v>0</v>
      </c>
      <c r="R59" s="134">
        <f>R6*(1+Dashboard_2!$H$58)^Model_2!R$54</f>
        <v>0</v>
      </c>
      <c r="S59" s="134">
        <f>S6*(1+Dashboard_2!$H$58)^Model_2!S$54</f>
        <v>0</v>
      </c>
      <c r="T59" s="134">
        <f>T6*(1+Dashboard_2!$H$58)^Model_2!T$54</f>
        <v>0</v>
      </c>
      <c r="U59" s="134">
        <f>U6*(1+Dashboard_2!$H$58)^Model_2!U$54</f>
        <v>0</v>
      </c>
      <c r="V59" s="134">
        <f>V6*(1+Dashboard_2!$H$58)^Model_2!V$54</f>
        <v>0</v>
      </c>
      <c r="W59" s="134">
        <f>W6*(1+Dashboard_2!$H$58)^Model_2!W$54</f>
        <v>0</v>
      </c>
      <c r="X59" s="134">
        <f>X6*(1+Dashboard_2!$H$58)^Model_2!X$54</f>
        <v>0</v>
      </c>
      <c r="Y59" s="134">
        <f>Y6*(1+Dashboard_2!$H$58)^Model_2!Y$54</f>
        <v>0</v>
      </c>
      <c r="Z59" s="134">
        <f>Z6*(1+Dashboard_2!$H$58)^Model_2!Z$54</f>
        <v>0</v>
      </c>
      <c r="AA59" s="134">
        <f>AA6*(1+Dashboard_2!$H$58)^Model_2!AA$54</f>
        <v>0</v>
      </c>
      <c r="AB59" s="134">
        <f>AB6*(1+Dashboard_2!$H$58)^Model_2!AB$54</f>
        <v>0</v>
      </c>
      <c r="AC59" s="134">
        <f>AC6*(1+Dashboard_2!$H$58)^Model_2!AC$54</f>
        <v>0</v>
      </c>
      <c r="AD59" s="134">
        <f>AD6*(1+Dashboard_2!$H$58)^Model_2!AD$54</f>
        <v>0</v>
      </c>
      <c r="AE59" s="134">
        <f>AE6*(1+Dashboard_2!$H$58)^Model_2!AE$54</f>
        <v>0</v>
      </c>
      <c r="AF59" s="134">
        <f>AF6*(1+Dashboard_2!$H$58)^Model_2!AF$54</f>
        <v>0</v>
      </c>
      <c r="AG59" s="134">
        <f>AG6*(1+Dashboard_2!$H$58)^Model_2!AG$54</f>
        <v>0</v>
      </c>
      <c r="AH59" s="134">
        <f>AH6*(1+Dashboard_2!$H$58)^Model_2!AH$54</f>
        <v>0</v>
      </c>
      <c r="AI59" s="134">
        <f>AI6*(1+Dashboard_2!$H$58)^Model_2!AI$54</f>
        <v>0</v>
      </c>
      <c r="AJ59" s="134">
        <f>AJ6*(1+Dashboard_2!$H$58)^Model_2!AJ$54</f>
        <v>0</v>
      </c>
      <c r="AK59" s="134">
        <f>AK6*(1+Dashboard_2!$H$58)^Model_2!AK$54</f>
        <v>0</v>
      </c>
      <c r="AL59" s="134">
        <f>AL6*(1+Dashboard_2!$H$58)^Model_2!AL$54</f>
        <v>0</v>
      </c>
      <c r="AM59" s="134">
        <f>AM6*(1+Dashboard_2!$H$58)^Model_2!AM$54</f>
        <v>0</v>
      </c>
      <c r="AN59" s="134">
        <f>AN6*(1+Dashboard_2!$H$58)^Model_2!AN$54</f>
        <v>0</v>
      </c>
      <c r="AO59" s="134">
        <f>AO6*(1+Dashboard_2!$H$58)^Model_2!AO$54</f>
        <v>0</v>
      </c>
      <c r="AP59" s="134">
        <f>AP6*(1+Dashboard_2!$H$58)^Model_2!AP$54</f>
        <v>0</v>
      </c>
      <c r="AQ59" s="134">
        <f>AQ6*(1+Dashboard_2!$H$58)^Model_2!AQ$54</f>
        <v>0</v>
      </c>
      <c r="AR59" s="134">
        <f>AR6*(1+Dashboard_2!$H$58)^Model_2!AR$54</f>
        <v>0</v>
      </c>
      <c r="AS59" s="134">
        <f>AS6*(1+Dashboard_2!$H$58)^Model_2!AS$54</f>
        <v>0</v>
      </c>
      <c r="AT59" s="134">
        <f>AT6*(1+Dashboard_2!$H$58)^Model_2!AT$54</f>
        <v>0</v>
      </c>
      <c r="AU59" s="134">
        <f>AU6*(1+Dashboard_2!$H$58)^Model_2!AU$54</f>
        <v>0</v>
      </c>
      <c r="AV59" s="134">
        <f>AV6*(1+Dashboard_2!$H$58)^Model_2!AV$54</f>
        <v>0</v>
      </c>
      <c r="AW59" s="134">
        <f>AW6*(1+Dashboard_2!$H$58)^Model_2!AW$54</f>
        <v>0</v>
      </c>
      <c r="AX59" s="134">
        <f>AX6*(1+Dashboard_2!$H$58)^Model_2!AX$54</f>
        <v>0</v>
      </c>
      <c r="AY59" s="134">
        <f>AY6*(1+Dashboard_2!$H$58)^Model_2!AY$54</f>
        <v>0</v>
      </c>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row>
    <row r="60" spans="1:98" s="138" customFormat="1" x14ac:dyDescent="0.45">
      <c r="A60" s="41" t="str">
        <f t="shared" si="17"/>
        <v>Unbundled installation</v>
      </c>
      <c r="B60" s="134">
        <f>B7*(1+Dashboard_2!$H$58)^Model_2!B$54</f>
        <v>2433.3333333333335</v>
      </c>
      <c r="C60" s="134">
        <f>C7*(1+Dashboard_2!$H$58)^Model_2!C$54</f>
        <v>0</v>
      </c>
      <c r="D60" s="134">
        <f>D7*(1+Dashboard_2!$H$58)^Model_2!D$54</f>
        <v>0</v>
      </c>
      <c r="E60" s="134">
        <f>E7*(1+Dashboard_2!$H$58)^Model_2!E$54</f>
        <v>0</v>
      </c>
      <c r="F60" s="134">
        <f>F7*(1+Dashboard_2!$H$58)^Model_2!F$54</f>
        <v>0</v>
      </c>
      <c r="G60" s="134">
        <f>G7*(1+Dashboard_2!$H$58)^Model_2!G$54</f>
        <v>0</v>
      </c>
      <c r="H60" s="134">
        <f>H7*(1+Dashboard_2!$H$58)^Model_2!H$54</f>
        <v>0</v>
      </c>
      <c r="I60" s="134">
        <f>I7*(1+Dashboard_2!$H$58)^Model_2!I$54</f>
        <v>0</v>
      </c>
      <c r="J60" s="134">
        <f>J7*(1+Dashboard_2!$H$58)^Model_2!J$54</f>
        <v>0</v>
      </c>
      <c r="K60" s="134">
        <f>K7*(1+Dashboard_2!$H$58)^Model_2!K$54</f>
        <v>0</v>
      </c>
      <c r="L60" s="134">
        <f>L7*(1+Dashboard_2!$H$58)^Model_2!L$54</f>
        <v>0</v>
      </c>
      <c r="M60" s="134">
        <f>M7*(1+Dashboard_2!$H$58)^Model_2!M$54</f>
        <v>0</v>
      </c>
      <c r="N60" s="134">
        <f>N7*(1+Dashboard_2!$H$58)^Model_2!N$54</f>
        <v>0</v>
      </c>
      <c r="O60" s="134">
        <f>O7*(1+Dashboard_2!$H$58)^Model_2!O$54</f>
        <v>0</v>
      </c>
      <c r="P60" s="134">
        <f>P7*(1+Dashboard_2!$H$58)^Model_2!P$54</f>
        <v>0</v>
      </c>
      <c r="Q60" s="134">
        <f>Q7*(1+Dashboard_2!$H$58)^Model_2!Q$54</f>
        <v>0</v>
      </c>
      <c r="R60" s="134">
        <f>R7*(1+Dashboard_2!$H$58)^Model_2!R$54</f>
        <v>0</v>
      </c>
      <c r="S60" s="134">
        <f>S7*(1+Dashboard_2!$H$58)^Model_2!S$54</f>
        <v>0</v>
      </c>
      <c r="T60" s="134">
        <f>T7*(1+Dashboard_2!$H$58)^Model_2!T$54</f>
        <v>0</v>
      </c>
      <c r="U60" s="134">
        <f>U7*(1+Dashboard_2!$H$58)^Model_2!U$54</f>
        <v>0</v>
      </c>
      <c r="V60" s="134">
        <f>V7*(1+Dashboard_2!$H$58)^Model_2!V$54</f>
        <v>0</v>
      </c>
      <c r="W60" s="134">
        <f>W7*(1+Dashboard_2!$H$58)^Model_2!W$54</f>
        <v>0</v>
      </c>
      <c r="X60" s="134">
        <f>X7*(1+Dashboard_2!$H$58)^Model_2!X$54</f>
        <v>0</v>
      </c>
      <c r="Y60" s="134">
        <f>Y7*(1+Dashboard_2!$H$58)^Model_2!Y$54</f>
        <v>0</v>
      </c>
      <c r="Z60" s="134">
        <f>Z7*(1+Dashboard_2!$H$58)^Model_2!Z$54</f>
        <v>0</v>
      </c>
      <c r="AA60" s="134">
        <f>AA7*(1+Dashboard_2!$H$58)^Model_2!AA$54</f>
        <v>0</v>
      </c>
      <c r="AB60" s="134">
        <f>AB7*(1+Dashboard_2!$H$58)^Model_2!AB$54</f>
        <v>0</v>
      </c>
      <c r="AC60" s="134">
        <f>AC7*(1+Dashboard_2!$H$58)^Model_2!AC$54</f>
        <v>0</v>
      </c>
      <c r="AD60" s="134">
        <f>AD7*(1+Dashboard_2!$H$58)^Model_2!AD$54</f>
        <v>0</v>
      </c>
      <c r="AE60" s="134">
        <f>AE7*(1+Dashboard_2!$H$58)^Model_2!AE$54</f>
        <v>0</v>
      </c>
      <c r="AF60" s="134">
        <f>AF7*(1+Dashboard_2!$H$58)^Model_2!AF$54</f>
        <v>0</v>
      </c>
      <c r="AG60" s="134">
        <f>AG7*(1+Dashboard_2!$H$58)^Model_2!AG$54</f>
        <v>0</v>
      </c>
      <c r="AH60" s="134">
        <f>AH7*(1+Dashboard_2!$H$58)^Model_2!AH$54</f>
        <v>0</v>
      </c>
      <c r="AI60" s="134">
        <f>AI7*(1+Dashboard_2!$H$58)^Model_2!AI$54</f>
        <v>0</v>
      </c>
      <c r="AJ60" s="134">
        <f>AJ7*(1+Dashboard_2!$H$58)^Model_2!AJ$54</f>
        <v>0</v>
      </c>
      <c r="AK60" s="134">
        <f>AK7*(1+Dashboard_2!$H$58)^Model_2!AK$54</f>
        <v>0</v>
      </c>
      <c r="AL60" s="134">
        <f>AL7*(1+Dashboard_2!$H$58)^Model_2!AL$54</f>
        <v>0</v>
      </c>
      <c r="AM60" s="134">
        <f>AM7*(1+Dashboard_2!$H$58)^Model_2!AM$54</f>
        <v>0</v>
      </c>
      <c r="AN60" s="134">
        <f>AN7*(1+Dashboard_2!$H$58)^Model_2!AN$54</f>
        <v>0</v>
      </c>
      <c r="AO60" s="134">
        <f>AO7*(1+Dashboard_2!$H$58)^Model_2!AO$54</f>
        <v>0</v>
      </c>
      <c r="AP60" s="134">
        <f>AP7*(1+Dashboard_2!$H$58)^Model_2!AP$54</f>
        <v>0</v>
      </c>
      <c r="AQ60" s="134">
        <f>AQ7*(1+Dashboard_2!$H$58)^Model_2!AQ$54</f>
        <v>0</v>
      </c>
      <c r="AR60" s="134">
        <f>AR7*(1+Dashboard_2!$H$58)^Model_2!AR$54</f>
        <v>0</v>
      </c>
      <c r="AS60" s="134">
        <f>AS7*(1+Dashboard_2!$H$58)^Model_2!AS$54</f>
        <v>0</v>
      </c>
      <c r="AT60" s="134">
        <f>AT7*(1+Dashboard_2!$H$58)^Model_2!AT$54</f>
        <v>0</v>
      </c>
      <c r="AU60" s="134">
        <f>AU7*(1+Dashboard_2!$H$58)^Model_2!AU$54</f>
        <v>0</v>
      </c>
      <c r="AV60" s="134">
        <f>AV7*(1+Dashboard_2!$H$58)^Model_2!AV$54</f>
        <v>0</v>
      </c>
      <c r="AW60" s="134">
        <f>AW7*(1+Dashboard_2!$H$58)^Model_2!AW$54</f>
        <v>0</v>
      </c>
      <c r="AX60" s="134">
        <f>AX7*(1+Dashboard_2!$H$58)^Model_2!AX$54</f>
        <v>0</v>
      </c>
      <c r="AY60" s="134">
        <f>AY7*(1+Dashboard_2!$H$58)^Model_2!AY$54</f>
        <v>0</v>
      </c>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row>
    <row r="61" spans="1:98" s="138" customFormat="1" x14ac:dyDescent="0.45">
      <c r="A61" s="41" t="str">
        <f t="shared" si="17"/>
        <v>Mulch cost ($/m3)</v>
      </c>
      <c r="B61" s="134">
        <f>B8*(1+Dashboard_2!$H$58)^Model_2!B$54</f>
        <v>549.46862696699998</v>
      </c>
      <c r="C61" s="134">
        <f>C8*(1+Dashboard_2!$H$58)^Model_2!C$54</f>
        <v>0</v>
      </c>
      <c r="D61" s="134">
        <f>D8*(1+Dashboard_2!$H$58)^Model_2!D$54</f>
        <v>0</v>
      </c>
      <c r="E61" s="134">
        <f>E8*(1+Dashboard_2!$H$58)^Model_2!E$54</f>
        <v>0</v>
      </c>
      <c r="F61" s="134">
        <f>F8*(1+Dashboard_2!$H$58)^Model_2!F$54</f>
        <v>0</v>
      </c>
      <c r="G61" s="134">
        <f>G8*(1+Dashboard_2!$H$58)^Model_2!G$54</f>
        <v>0</v>
      </c>
      <c r="H61" s="134">
        <f>H8*(1+Dashboard_2!$H$58)^Model_2!H$54</f>
        <v>0</v>
      </c>
      <c r="I61" s="134">
        <f>I8*(1+Dashboard_2!$H$58)^Model_2!I$54</f>
        <v>0</v>
      </c>
      <c r="J61" s="134">
        <f>J8*(1+Dashboard_2!$H$58)^Model_2!J$54</f>
        <v>0</v>
      </c>
      <c r="K61" s="134">
        <f>K8*(1+Dashboard_2!$H$58)^Model_2!K$54</f>
        <v>0</v>
      </c>
      <c r="L61" s="134">
        <f>L8*(1+Dashboard_2!$H$58)^Model_2!L$54</f>
        <v>0</v>
      </c>
      <c r="M61" s="134">
        <f>M8*(1+Dashboard_2!$H$58)^Model_2!M$54</f>
        <v>0</v>
      </c>
      <c r="N61" s="134">
        <f>N8*(1+Dashboard_2!$H$58)^Model_2!N$54</f>
        <v>0</v>
      </c>
      <c r="O61" s="134">
        <f>O8*(1+Dashboard_2!$H$58)^Model_2!O$54</f>
        <v>0</v>
      </c>
      <c r="P61" s="134">
        <f>P8*(1+Dashboard_2!$H$58)^Model_2!P$54</f>
        <v>0</v>
      </c>
      <c r="Q61" s="134">
        <f>Q8*(1+Dashboard_2!$H$58)^Model_2!Q$54</f>
        <v>0</v>
      </c>
      <c r="R61" s="134">
        <f>R8*(1+Dashboard_2!$H$58)^Model_2!R$54</f>
        <v>0</v>
      </c>
      <c r="S61" s="134">
        <f>S8*(1+Dashboard_2!$H$58)^Model_2!S$54</f>
        <v>0</v>
      </c>
      <c r="T61" s="134">
        <f>T8*(1+Dashboard_2!$H$58)^Model_2!T$54</f>
        <v>0</v>
      </c>
      <c r="U61" s="134">
        <f>U8*(1+Dashboard_2!$H$58)^Model_2!U$54</f>
        <v>0</v>
      </c>
      <c r="V61" s="134">
        <f>V8*(1+Dashboard_2!$H$58)^Model_2!V$54</f>
        <v>0</v>
      </c>
      <c r="W61" s="134">
        <f>W8*(1+Dashboard_2!$H$58)^Model_2!W$54</f>
        <v>0</v>
      </c>
      <c r="X61" s="134">
        <f>X8*(1+Dashboard_2!$H$58)^Model_2!X$54</f>
        <v>0</v>
      </c>
      <c r="Y61" s="134">
        <f>Y8*(1+Dashboard_2!$H$58)^Model_2!Y$54</f>
        <v>0</v>
      </c>
      <c r="Z61" s="134">
        <f>Z8*(1+Dashboard_2!$H$58)^Model_2!Z$54</f>
        <v>0</v>
      </c>
      <c r="AA61" s="134">
        <f>AA8*(1+Dashboard_2!$H$58)^Model_2!AA$54</f>
        <v>0</v>
      </c>
      <c r="AB61" s="134">
        <f>AB8*(1+Dashboard_2!$H$58)^Model_2!AB$54</f>
        <v>0</v>
      </c>
      <c r="AC61" s="134">
        <f>AC8*(1+Dashboard_2!$H$58)^Model_2!AC$54</f>
        <v>0</v>
      </c>
      <c r="AD61" s="134">
        <f>AD8*(1+Dashboard_2!$H$58)^Model_2!AD$54</f>
        <v>0</v>
      </c>
      <c r="AE61" s="134">
        <f>AE8*(1+Dashboard_2!$H$58)^Model_2!AE$54</f>
        <v>0</v>
      </c>
      <c r="AF61" s="134">
        <f>AF8*(1+Dashboard_2!$H$58)^Model_2!AF$54</f>
        <v>0</v>
      </c>
      <c r="AG61" s="134">
        <f>AG8*(1+Dashboard_2!$H$58)^Model_2!AG$54</f>
        <v>0</v>
      </c>
      <c r="AH61" s="134">
        <f>AH8*(1+Dashboard_2!$H$58)^Model_2!AH$54</f>
        <v>0</v>
      </c>
      <c r="AI61" s="134">
        <f>AI8*(1+Dashboard_2!$H$58)^Model_2!AI$54</f>
        <v>0</v>
      </c>
      <c r="AJ61" s="134">
        <f>AJ8*(1+Dashboard_2!$H$58)^Model_2!AJ$54</f>
        <v>0</v>
      </c>
      <c r="AK61" s="134">
        <f>AK8*(1+Dashboard_2!$H$58)^Model_2!AK$54</f>
        <v>0</v>
      </c>
      <c r="AL61" s="134">
        <f>AL8*(1+Dashboard_2!$H$58)^Model_2!AL$54</f>
        <v>0</v>
      </c>
      <c r="AM61" s="134">
        <f>AM8*(1+Dashboard_2!$H$58)^Model_2!AM$54</f>
        <v>0</v>
      </c>
      <c r="AN61" s="134">
        <f>AN8*(1+Dashboard_2!$H$58)^Model_2!AN$54</f>
        <v>0</v>
      </c>
      <c r="AO61" s="134">
        <f>AO8*(1+Dashboard_2!$H$58)^Model_2!AO$54</f>
        <v>0</v>
      </c>
      <c r="AP61" s="134">
        <f>AP8*(1+Dashboard_2!$H$58)^Model_2!AP$54</f>
        <v>0</v>
      </c>
      <c r="AQ61" s="134">
        <f>AQ8*(1+Dashboard_2!$H$58)^Model_2!AQ$54</f>
        <v>0</v>
      </c>
      <c r="AR61" s="134">
        <f>AR8*(1+Dashboard_2!$H$58)^Model_2!AR$54</f>
        <v>0</v>
      </c>
      <c r="AS61" s="134">
        <f>AS8*(1+Dashboard_2!$H$58)^Model_2!AS$54</f>
        <v>0</v>
      </c>
      <c r="AT61" s="134">
        <f>AT8*(1+Dashboard_2!$H$58)^Model_2!AT$54</f>
        <v>0</v>
      </c>
      <c r="AU61" s="134">
        <f>AU8*(1+Dashboard_2!$H$58)^Model_2!AU$54</f>
        <v>0</v>
      </c>
      <c r="AV61" s="134">
        <f>AV8*(1+Dashboard_2!$H$58)^Model_2!AV$54</f>
        <v>0</v>
      </c>
      <c r="AW61" s="134">
        <f>AW8*(1+Dashboard_2!$H$58)^Model_2!AW$54</f>
        <v>0</v>
      </c>
      <c r="AX61" s="134">
        <f>AX8*(1+Dashboard_2!$H$58)^Model_2!AX$54</f>
        <v>0</v>
      </c>
      <c r="AY61" s="134">
        <f>AY8*(1+Dashboard_2!$H$58)^Model_2!AY$54</f>
        <v>0</v>
      </c>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row>
    <row r="62" spans="1:98" s="138" customFormat="1" x14ac:dyDescent="0.45">
      <c r="A62" s="41" t="str">
        <f t="shared" si="17"/>
        <v>Stakes and ties ($)</v>
      </c>
      <c r="B62" s="134">
        <f>B9*(1+Dashboard_2!$H$58)^Model_2!B$54</f>
        <v>7019.9999999999991</v>
      </c>
      <c r="C62" s="134">
        <f>C9*(1+Dashboard_2!$H$58)^Model_2!C$54</f>
        <v>0</v>
      </c>
      <c r="D62" s="134">
        <f>D9*(1+Dashboard_2!$H$58)^Model_2!D$54</f>
        <v>0</v>
      </c>
      <c r="E62" s="134">
        <f>E9*(1+Dashboard_2!$H$58)^Model_2!E$54</f>
        <v>0</v>
      </c>
      <c r="F62" s="134">
        <f>F9*(1+Dashboard_2!$H$58)^Model_2!F$54</f>
        <v>0</v>
      </c>
      <c r="G62" s="134">
        <f>G9*(1+Dashboard_2!$H$58)^Model_2!G$54</f>
        <v>0</v>
      </c>
      <c r="H62" s="134">
        <f>H9*(1+Dashboard_2!$H$58)^Model_2!H$54</f>
        <v>0</v>
      </c>
      <c r="I62" s="134">
        <f>I9*(1+Dashboard_2!$H$58)^Model_2!I$54</f>
        <v>0</v>
      </c>
      <c r="J62" s="134">
        <f>J9*(1+Dashboard_2!$H$58)^Model_2!J$54</f>
        <v>0</v>
      </c>
      <c r="K62" s="134">
        <f>K9*(1+Dashboard_2!$H$58)^Model_2!K$54</f>
        <v>0</v>
      </c>
      <c r="L62" s="134">
        <f>L9*(1+Dashboard_2!$H$58)^Model_2!L$54</f>
        <v>0</v>
      </c>
      <c r="M62" s="134">
        <f>M9*(1+Dashboard_2!$H$58)^Model_2!M$54</f>
        <v>0</v>
      </c>
      <c r="N62" s="134">
        <f>N9*(1+Dashboard_2!$H$58)^Model_2!N$54</f>
        <v>0</v>
      </c>
      <c r="O62" s="134">
        <f>O9*(1+Dashboard_2!$H$58)^Model_2!O$54</f>
        <v>0</v>
      </c>
      <c r="P62" s="134">
        <f>P9*(1+Dashboard_2!$H$58)^Model_2!P$54</f>
        <v>0</v>
      </c>
      <c r="Q62" s="134">
        <f>Q9*(1+Dashboard_2!$H$58)^Model_2!Q$54</f>
        <v>0</v>
      </c>
      <c r="R62" s="134">
        <f>R9*(1+Dashboard_2!$H$58)^Model_2!R$54</f>
        <v>0</v>
      </c>
      <c r="S62" s="134">
        <f>S9*(1+Dashboard_2!$H$58)^Model_2!S$54</f>
        <v>0</v>
      </c>
      <c r="T62" s="134">
        <f>T9*(1+Dashboard_2!$H$58)^Model_2!T$54</f>
        <v>0</v>
      </c>
      <c r="U62" s="134">
        <f>U9*(1+Dashboard_2!$H$58)^Model_2!U$54</f>
        <v>0</v>
      </c>
      <c r="V62" s="134">
        <f>V9*(1+Dashboard_2!$H$58)^Model_2!V$54</f>
        <v>0</v>
      </c>
      <c r="W62" s="134">
        <f>W9*(1+Dashboard_2!$H$58)^Model_2!W$54</f>
        <v>0</v>
      </c>
      <c r="X62" s="134">
        <f>X9*(1+Dashboard_2!$H$58)^Model_2!X$54</f>
        <v>0</v>
      </c>
      <c r="Y62" s="134">
        <f>Y9*(1+Dashboard_2!$H$58)^Model_2!Y$54</f>
        <v>0</v>
      </c>
      <c r="Z62" s="134">
        <f>Z9*(1+Dashboard_2!$H$58)^Model_2!Z$54</f>
        <v>0</v>
      </c>
      <c r="AA62" s="134">
        <f>AA9*(1+Dashboard_2!$H$58)^Model_2!AA$54</f>
        <v>0</v>
      </c>
      <c r="AB62" s="134">
        <f>AB9*(1+Dashboard_2!$H$58)^Model_2!AB$54</f>
        <v>0</v>
      </c>
      <c r="AC62" s="134">
        <f>AC9*(1+Dashboard_2!$H$58)^Model_2!AC$54</f>
        <v>0</v>
      </c>
      <c r="AD62" s="134">
        <f>AD9*(1+Dashboard_2!$H$58)^Model_2!AD$54</f>
        <v>0</v>
      </c>
      <c r="AE62" s="134">
        <f>AE9*(1+Dashboard_2!$H$58)^Model_2!AE$54</f>
        <v>0</v>
      </c>
      <c r="AF62" s="134">
        <f>AF9*(1+Dashboard_2!$H$58)^Model_2!AF$54</f>
        <v>0</v>
      </c>
      <c r="AG62" s="134">
        <f>AG9*(1+Dashboard_2!$H$58)^Model_2!AG$54</f>
        <v>0</v>
      </c>
      <c r="AH62" s="134">
        <f>AH9*(1+Dashboard_2!$H$58)^Model_2!AH$54</f>
        <v>0</v>
      </c>
      <c r="AI62" s="134">
        <f>AI9*(1+Dashboard_2!$H$58)^Model_2!AI$54</f>
        <v>0</v>
      </c>
      <c r="AJ62" s="134">
        <f>AJ9*(1+Dashboard_2!$H$58)^Model_2!AJ$54</f>
        <v>0</v>
      </c>
      <c r="AK62" s="134">
        <f>AK9*(1+Dashboard_2!$H$58)^Model_2!AK$54</f>
        <v>0</v>
      </c>
      <c r="AL62" s="134">
        <f>AL9*(1+Dashboard_2!$H$58)^Model_2!AL$54</f>
        <v>0</v>
      </c>
      <c r="AM62" s="134">
        <f>AM9*(1+Dashboard_2!$H$58)^Model_2!AM$54</f>
        <v>0</v>
      </c>
      <c r="AN62" s="134">
        <f>AN9*(1+Dashboard_2!$H$58)^Model_2!AN$54</f>
        <v>0</v>
      </c>
      <c r="AO62" s="134">
        <f>AO9*(1+Dashboard_2!$H$58)^Model_2!AO$54</f>
        <v>0</v>
      </c>
      <c r="AP62" s="134">
        <f>AP9*(1+Dashboard_2!$H$58)^Model_2!AP$54</f>
        <v>0</v>
      </c>
      <c r="AQ62" s="134">
        <f>AQ9*(1+Dashboard_2!$H$58)^Model_2!AQ$54</f>
        <v>0</v>
      </c>
      <c r="AR62" s="134">
        <f>AR9*(1+Dashboard_2!$H$58)^Model_2!AR$54</f>
        <v>0</v>
      </c>
      <c r="AS62" s="134">
        <f>AS9*(1+Dashboard_2!$H$58)^Model_2!AS$54</f>
        <v>0</v>
      </c>
      <c r="AT62" s="134">
        <f>AT9*(1+Dashboard_2!$H$58)^Model_2!AT$54</f>
        <v>0</v>
      </c>
      <c r="AU62" s="134">
        <f>AU9*(1+Dashboard_2!$H$58)^Model_2!AU$54</f>
        <v>0</v>
      </c>
      <c r="AV62" s="134">
        <f>AV9*(1+Dashboard_2!$H$58)^Model_2!AV$54</f>
        <v>0</v>
      </c>
      <c r="AW62" s="134">
        <f>AW9*(1+Dashboard_2!$H$58)^Model_2!AW$54</f>
        <v>0</v>
      </c>
      <c r="AX62" s="134">
        <f>AX9*(1+Dashboard_2!$H$58)^Model_2!AX$54</f>
        <v>0</v>
      </c>
      <c r="AY62" s="134">
        <f>AY9*(1+Dashboard_2!$H$58)^Model_2!AY$54</f>
        <v>0</v>
      </c>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row>
    <row r="63" spans="1:98" s="138" customFormat="1" x14ac:dyDescent="0.45">
      <c r="A63" s="41" t="str">
        <f t="shared" si="17"/>
        <v>Tree removal</v>
      </c>
      <c r="B63" s="134">
        <f>B10*(1+Dashboard_2!$H$58)^Model_2!B$54</f>
        <v>0</v>
      </c>
      <c r="C63" s="134">
        <f>C10*(1+Dashboard_2!$H$58)^Model_2!C$54</f>
        <v>0</v>
      </c>
      <c r="D63" s="134">
        <f>D10*(1+Dashboard_2!$H$58)^Model_2!D$54</f>
        <v>0</v>
      </c>
      <c r="E63" s="134">
        <f>E10*(1+Dashboard_2!$H$58)^Model_2!E$54</f>
        <v>0</v>
      </c>
      <c r="F63" s="134">
        <f>F10*(1+Dashboard_2!$H$58)^Model_2!F$54</f>
        <v>0</v>
      </c>
      <c r="G63" s="134">
        <f>G10*(1+Dashboard_2!$H$58)^Model_2!G$54</f>
        <v>0</v>
      </c>
      <c r="H63" s="134">
        <f>H10*(1+Dashboard_2!$H$58)^Model_2!H$54</f>
        <v>5050.4648363171364</v>
      </c>
      <c r="I63" s="134">
        <f>I10*(1+Dashboard_2!$H$58)^Model_2!I$54</f>
        <v>5176.7264572250651</v>
      </c>
      <c r="J63" s="134">
        <f>J10*(1+Dashboard_2!$H$58)^Model_2!J$54</f>
        <v>5306.1446186556914</v>
      </c>
      <c r="K63" s="134">
        <f>K10*(1+Dashboard_2!$H$58)^Model_2!K$54</f>
        <v>5438.7982341220832</v>
      </c>
      <c r="L63" s="134">
        <f>L10*(1+Dashboard_2!$H$58)^Model_2!L$54</f>
        <v>5574.7681899751351</v>
      </c>
      <c r="M63" s="134">
        <f>M10*(1+Dashboard_2!$H$58)^Model_2!M$54</f>
        <v>5714.1373947245138</v>
      </c>
      <c r="N63" s="134">
        <f>N10*(1+Dashboard_2!$H$58)^Model_2!N$54</f>
        <v>5856.9908295926261</v>
      </c>
      <c r="O63" s="134">
        <f>O10*(1+Dashboard_2!$H$58)^Model_2!O$54</f>
        <v>6003.4156003324415</v>
      </c>
      <c r="P63" s="134">
        <f>P10*(1+Dashboard_2!$H$58)^Model_2!P$54</f>
        <v>6153.5009903407517</v>
      </c>
      <c r="Q63" s="134">
        <f>Q10*(1+Dashboard_2!$H$58)^Model_2!Q$54</f>
        <v>6307.3385150992708</v>
      </c>
      <c r="R63" s="134">
        <f>R10*(1+Dashboard_2!$H$58)^Model_2!R$54</f>
        <v>6465.0219779767522</v>
      </c>
      <c r="S63" s="134">
        <f>S10*(1+Dashboard_2!$H$58)^Model_2!S$54</f>
        <v>6626.6475274261702</v>
      </c>
      <c r="T63" s="134">
        <f>T10*(1+Dashboard_2!$H$58)^Model_2!T$54</f>
        <v>6792.3137156118246</v>
      </c>
      <c r="U63" s="134">
        <f>U10*(1+Dashboard_2!$H$58)^Model_2!U$54</f>
        <v>6962.1215585021209</v>
      </c>
      <c r="V63" s="134">
        <f>V10*(1+Dashboard_2!$H$58)^Model_2!V$54</f>
        <v>7136.1745974646728</v>
      </c>
      <c r="W63" s="134">
        <f>W10*(1+Dashboard_2!$H$58)^Model_2!W$54</f>
        <v>7314.5789624012887</v>
      </c>
      <c r="X63" s="134">
        <f>X10*(1+Dashboard_2!$H$58)^Model_2!X$54</f>
        <v>7497.4434364613207</v>
      </c>
      <c r="Y63" s="134">
        <f>Y10*(1+Dashboard_2!$H$58)^Model_2!Y$54</f>
        <v>7684.8795223728539</v>
      </c>
      <c r="Z63" s="134">
        <f>Z10*(1+Dashboard_2!$H$58)^Model_2!Z$54</f>
        <v>7877.0015104321747</v>
      </c>
      <c r="AA63" s="134">
        <f>AA10*(1+Dashboard_2!$H$58)^Model_2!AA$54</f>
        <v>8073.9265481929779</v>
      </c>
      <c r="AB63" s="134">
        <f>AB10*(1+Dashboard_2!$H$58)^Model_2!AB$54</f>
        <v>8275.7747118978023</v>
      </c>
      <c r="AC63" s="134">
        <f>AC10*(1+Dashboard_2!$H$58)^Model_2!AC$54</f>
        <v>8482.6690796952462</v>
      </c>
      <c r="AD63" s="134">
        <f>AD10*(1+Dashboard_2!$H$58)^Model_2!AD$54</f>
        <v>8694.7358066876277</v>
      </c>
      <c r="AE63" s="134">
        <f>AE10*(1+Dashboard_2!$H$58)^Model_2!AE$54</f>
        <v>8912.1042018548178</v>
      </c>
      <c r="AF63" s="134">
        <f>AF10*(1+Dashboard_2!$H$58)^Model_2!AF$54</f>
        <v>9134.9068069011864</v>
      </c>
      <c r="AG63" s="134">
        <f>AG10*(1+Dashboard_2!$H$58)^Model_2!AG$54</f>
        <v>9363.2794770737182</v>
      </c>
      <c r="AH63" s="134">
        <f>AH10*(1+Dashboard_2!$H$58)^Model_2!AH$54</f>
        <v>9597.3614640005599</v>
      </c>
      <c r="AI63" s="134">
        <f>AI10*(1+Dashboard_2!$H$58)^Model_2!AI$54</f>
        <v>9837.2955006005741</v>
      </c>
      <c r="AJ63" s="134">
        <f>AJ10*(1+Dashboard_2!$H$58)^Model_2!AJ$54</f>
        <v>10083.227888115587</v>
      </c>
      <c r="AK63" s="134">
        <f>AK10*(1+Dashboard_2!$H$58)^Model_2!AK$54</f>
        <v>10335.308585318477</v>
      </c>
      <c r="AL63" s="134">
        <f>AL10*(1+Dashboard_2!$H$58)^Model_2!AL$54</f>
        <v>10593.691299951439</v>
      </c>
      <c r="AM63" s="134">
        <f>AM10*(1+Dashboard_2!$H$58)^Model_2!AM$54</f>
        <v>10858.533582450224</v>
      </c>
      <c r="AN63" s="134">
        <f>AN10*(1+Dashboard_2!$H$58)^Model_2!AN$54</f>
        <v>11129.996922011476</v>
      </c>
      <c r="AO63" s="134">
        <f>AO10*(1+Dashboard_2!$H$58)^Model_2!AO$54</f>
        <v>11408.246845061765</v>
      </c>
      <c r="AP63" s="134">
        <f>AP10*(1+Dashboard_2!$H$58)^Model_2!AP$54</f>
        <v>11693.453016188307</v>
      </c>
      <c r="AQ63" s="134">
        <f>AQ10*(1+Dashboard_2!$H$58)^Model_2!AQ$54</f>
        <v>11985.789341593014</v>
      </c>
      <c r="AR63" s="134">
        <f>AR10*(1+Dashboard_2!$H$58)^Model_2!AR$54</f>
        <v>12285.43407513284</v>
      </c>
      <c r="AS63" s="134">
        <f>AS10*(1+Dashboard_2!$H$58)^Model_2!AS$54</f>
        <v>12592.569927011162</v>
      </c>
      <c r="AT63" s="134">
        <f>AT10*(1+Dashboard_2!$H$58)^Model_2!AT$54</f>
        <v>12907.384175186437</v>
      </c>
      <c r="AU63" s="134">
        <f>AU10*(1+Dashboard_2!$H$58)^Model_2!AU$54</f>
        <v>13230.0687795661</v>
      </c>
      <c r="AV63" s="134">
        <f>AV10*(1+Dashboard_2!$H$58)^Model_2!AV$54</f>
        <v>13560.820499055248</v>
      </c>
      <c r="AW63" s="134">
        <f>AW10*(1+Dashboard_2!$H$58)^Model_2!AW$54</f>
        <v>13899.841011531633</v>
      </c>
      <c r="AX63" s="134">
        <f>AX10*(1+Dashboard_2!$H$58)^Model_2!AX$54</f>
        <v>14247.337036819921</v>
      </c>
      <c r="AY63" s="134">
        <f>AY10*(1+Dashboard_2!$H$58)^Model_2!AY$54</f>
        <v>14603.520462740418</v>
      </c>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row>
    <row r="64" spans="1:98" s="138" customFormat="1" x14ac:dyDescent="0.45">
      <c r="A64" s="41" t="str">
        <f t="shared" si="17"/>
        <v>Soil cost ($/m3)</v>
      </c>
      <c r="B64" s="134">
        <f>B11*(1+Dashboard_2!$H$58)^Model_2!B$54</f>
        <v>1790.1</v>
      </c>
      <c r="C64" s="134">
        <f>C11*(1+Dashboard_2!$H$58)^Model_2!C$54</f>
        <v>0</v>
      </c>
      <c r="D64" s="134">
        <f>D11*(1+Dashboard_2!$H$58)^Model_2!D$54</f>
        <v>0</v>
      </c>
      <c r="E64" s="134">
        <f>E11*(1+Dashboard_2!$H$58)^Model_2!E$54</f>
        <v>0</v>
      </c>
      <c r="F64" s="134">
        <f>F11*(1+Dashboard_2!$H$58)^Model_2!F$54</f>
        <v>0</v>
      </c>
      <c r="G64" s="134">
        <f>G11*(1+Dashboard_2!$H$58)^Model_2!G$54</f>
        <v>0</v>
      </c>
      <c r="H64" s="134">
        <f>H11*(1+Dashboard_2!$H$58)^Model_2!H$54</f>
        <v>0</v>
      </c>
      <c r="I64" s="134">
        <f>I11*(1+Dashboard_2!$H$58)^Model_2!I$54</f>
        <v>0</v>
      </c>
      <c r="J64" s="134">
        <f>J11*(1+Dashboard_2!$H$58)^Model_2!J$54</f>
        <v>0</v>
      </c>
      <c r="K64" s="134">
        <f>K11*(1+Dashboard_2!$H$58)^Model_2!K$54</f>
        <v>0</v>
      </c>
      <c r="L64" s="134">
        <f>L11*(1+Dashboard_2!$H$58)^Model_2!L$54</f>
        <v>0</v>
      </c>
      <c r="M64" s="134">
        <f>M11*(1+Dashboard_2!$H$58)^Model_2!M$54</f>
        <v>0</v>
      </c>
      <c r="N64" s="134">
        <f>N11*(1+Dashboard_2!$H$58)^Model_2!N$54</f>
        <v>0</v>
      </c>
      <c r="O64" s="134">
        <f>O11*(1+Dashboard_2!$H$58)^Model_2!O$54</f>
        <v>0</v>
      </c>
      <c r="P64" s="134">
        <f>P11*(1+Dashboard_2!$H$58)^Model_2!P$54</f>
        <v>0</v>
      </c>
      <c r="Q64" s="134">
        <f>Q11*(1+Dashboard_2!$H$58)^Model_2!Q$54</f>
        <v>0</v>
      </c>
      <c r="R64" s="134">
        <f>R11*(1+Dashboard_2!$H$58)^Model_2!R$54</f>
        <v>0</v>
      </c>
      <c r="S64" s="134">
        <f>S11*(1+Dashboard_2!$H$58)^Model_2!S$54</f>
        <v>0</v>
      </c>
      <c r="T64" s="134">
        <f>T11*(1+Dashboard_2!$H$58)^Model_2!T$54</f>
        <v>0</v>
      </c>
      <c r="U64" s="134">
        <f>U11*(1+Dashboard_2!$H$58)^Model_2!U$54</f>
        <v>0</v>
      </c>
      <c r="V64" s="134">
        <f>V11*(1+Dashboard_2!$H$58)^Model_2!V$54</f>
        <v>0</v>
      </c>
      <c r="W64" s="134">
        <f>W11*(1+Dashboard_2!$H$58)^Model_2!W$54</f>
        <v>0</v>
      </c>
      <c r="X64" s="134">
        <f>X11*(1+Dashboard_2!$H$58)^Model_2!X$54</f>
        <v>0</v>
      </c>
      <c r="Y64" s="134">
        <f>Y11*(1+Dashboard_2!$H$58)^Model_2!Y$54</f>
        <v>0</v>
      </c>
      <c r="Z64" s="134">
        <f>Z11*(1+Dashboard_2!$H$58)^Model_2!Z$54</f>
        <v>0</v>
      </c>
      <c r="AA64" s="134">
        <f>AA11*(1+Dashboard_2!$H$58)^Model_2!AA$54</f>
        <v>0</v>
      </c>
      <c r="AB64" s="134">
        <f>AB11*(1+Dashboard_2!$H$58)^Model_2!AB$54</f>
        <v>0</v>
      </c>
      <c r="AC64" s="134">
        <f>AC11*(1+Dashboard_2!$H$58)^Model_2!AC$54</f>
        <v>0</v>
      </c>
      <c r="AD64" s="134">
        <f>AD11*(1+Dashboard_2!$H$58)^Model_2!AD$54</f>
        <v>0</v>
      </c>
      <c r="AE64" s="134">
        <f>AE11*(1+Dashboard_2!$H$58)^Model_2!AE$54</f>
        <v>0</v>
      </c>
      <c r="AF64" s="134">
        <f>AF11*(1+Dashboard_2!$H$58)^Model_2!AF$54</f>
        <v>0</v>
      </c>
      <c r="AG64" s="134">
        <f>AG11*(1+Dashboard_2!$H$58)^Model_2!AG$54</f>
        <v>0</v>
      </c>
      <c r="AH64" s="134">
        <f>AH11*(1+Dashboard_2!$H$58)^Model_2!AH$54</f>
        <v>0</v>
      </c>
      <c r="AI64" s="134">
        <f>AI11*(1+Dashboard_2!$H$58)^Model_2!AI$54</f>
        <v>0</v>
      </c>
      <c r="AJ64" s="134">
        <f>AJ11*(1+Dashboard_2!$H$58)^Model_2!AJ$54</f>
        <v>0</v>
      </c>
      <c r="AK64" s="134">
        <f>AK11*(1+Dashboard_2!$H$58)^Model_2!AK$54</f>
        <v>0</v>
      </c>
      <c r="AL64" s="134">
        <f>AL11*(1+Dashboard_2!$H$58)^Model_2!AL$54</f>
        <v>0</v>
      </c>
      <c r="AM64" s="134">
        <f>AM11*(1+Dashboard_2!$H$58)^Model_2!AM$54</f>
        <v>0</v>
      </c>
      <c r="AN64" s="134">
        <f>AN11*(1+Dashboard_2!$H$58)^Model_2!AN$54</f>
        <v>0</v>
      </c>
      <c r="AO64" s="134">
        <f>AO11*(1+Dashboard_2!$H$58)^Model_2!AO$54</f>
        <v>0</v>
      </c>
      <c r="AP64" s="134">
        <f>AP11*(1+Dashboard_2!$H$58)^Model_2!AP$54</f>
        <v>0</v>
      </c>
      <c r="AQ64" s="134">
        <f>AQ11*(1+Dashboard_2!$H$58)^Model_2!AQ$54</f>
        <v>0</v>
      </c>
      <c r="AR64" s="134">
        <f>AR11*(1+Dashboard_2!$H$58)^Model_2!AR$54</f>
        <v>0</v>
      </c>
      <c r="AS64" s="134">
        <f>AS11*(1+Dashboard_2!$H$58)^Model_2!AS$54</f>
        <v>0</v>
      </c>
      <c r="AT64" s="134">
        <f>AT11*(1+Dashboard_2!$H$58)^Model_2!AT$54</f>
        <v>0</v>
      </c>
      <c r="AU64" s="134">
        <f>AU11*(1+Dashboard_2!$H$58)^Model_2!AU$54</f>
        <v>0</v>
      </c>
      <c r="AV64" s="134">
        <f>AV11*(1+Dashboard_2!$H$58)^Model_2!AV$54</f>
        <v>0</v>
      </c>
      <c r="AW64" s="134">
        <f>AW11*(1+Dashboard_2!$H$58)^Model_2!AW$54</f>
        <v>0</v>
      </c>
      <c r="AX64" s="134">
        <f>AX11*(1+Dashboard_2!$H$58)^Model_2!AX$54</f>
        <v>0</v>
      </c>
      <c r="AY64" s="134">
        <f>AY11*(1+Dashboard_2!$H$58)^Model_2!AY$54</f>
        <v>0</v>
      </c>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row>
    <row r="65" spans="1:98" s="138" customFormat="1" x14ac:dyDescent="0.45">
      <c r="A65" s="41" t="str">
        <f t="shared" si="17"/>
        <v>Tree protection fencing ($)</v>
      </c>
      <c r="B65" s="134">
        <f>B12*(1+Dashboard_2!$H$58)^Model_2!B$54</f>
        <v>250</v>
      </c>
      <c r="C65" s="134">
        <f>C12*(1+Dashboard_2!$H$58)^Model_2!C$54</f>
        <v>0</v>
      </c>
      <c r="D65" s="134">
        <f>D12*(1+Dashboard_2!$H$58)^Model_2!D$54</f>
        <v>0</v>
      </c>
      <c r="E65" s="134">
        <f>E12*(1+Dashboard_2!$H$58)^Model_2!E$54</f>
        <v>0</v>
      </c>
      <c r="F65" s="134">
        <f>F12*(1+Dashboard_2!$H$58)^Model_2!F$54</f>
        <v>0</v>
      </c>
      <c r="G65" s="134">
        <f>G12*(1+Dashboard_2!$H$58)^Model_2!G$54</f>
        <v>0</v>
      </c>
      <c r="H65" s="134">
        <f>H12*(1+Dashboard_2!$H$58)^Model_2!H$54</f>
        <v>0</v>
      </c>
      <c r="I65" s="134">
        <f>I12*(1+Dashboard_2!$H$58)^Model_2!I$54</f>
        <v>0</v>
      </c>
      <c r="J65" s="134">
        <f>J12*(1+Dashboard_2!$H$58)^Model_2!J$54</f>
        <v>0</v>
      </c>
      <c r="K65" s="134">
        <f>K12*(1+Dashboard_2!$H$58)^Model_2!K$54</f>
        <v>0</v>
      </c>
      <c r="L65" s="134">
        <f>L12*(1+Dashboard_2!$H$58)^Model_2!L$54</f>
        <v>0</v>
      </c>
      <c r="M65" s="134">
        <f>M12*(1+Dashboard_2!$H$58)^Model_2!M$54</f>
        <v>0</v>
      </c>
      <c r="N65" s="134">
        <f>N12*(1+Dashboard_2!$H$58)^Model_2!N$54</f>
        <v>0</v>
      </c>
      <c r="O65" s="134">
        <f>O12*(1+Dashboard_2!$H$58)^Model_2!O$54</f>
        <v>0</v>
      </c>
      <c r="P65" s="134">
        <f>P12*(1+Dashboard_2!$H$58)^Model_2!P$54</f>
        <v>0</v>
      </c>
      <c r="Q65" s="134">
        <f>Q12*(1+Dashboard_2!$H$58)^Model_2!Q$54</f>
        <v>0</v>
      </c>
      <c r="R65" s="134">
        <f>R12*(1+Dashboard_2!$H$58)^Model_2!R$54</f>
        <v>0</v>
      </c>
      <c r="S65" s="134">
        <f>S12*(1+Dashboard_2!$H$58)^Model_2!S$54</f>
        <v>0</v>
      </c>
      <c r="T65" s="134">
        <f>T12*(1+Dashboard_2!$H$58)^Model_2!T$54</f>
        <v>0</v>
      </c>
      <c r="U65" s="134">
        <f>U12*(1+Dashboard_2!$H$58)^Model_2!U$54</f>
        <v>0</v>
      </c>
      <c r="V65" s="134">
        <f>V12*(1+Dashboard_2!$H$58)^Model_2!V$54</f>
        <v>0</v>
      </c>
      <c r="W65" s="134">
        <f>W12*(1+Dashboard_2!$H$58)^Model_2!W$54</f>
        <v>0</v>
      </c>
      <c r="X65" s="134">
        <f>X12*(1+Dashboard_2!$H$58)^Model_2!X$54</f>
        <v>0</v>
      </c>
      <c r="Y65" s="134">
        <f>Y12*(1+Dashboard_2!$H$58)^Model_2!Y$54</f>
        <v>0</v>
      </c>
      <c r="Z65" s="134">
        <f>Z12*(1+Dashboard_2!$H$58)^Model_2!Z$54</f>
        <v>0</v>
      </c>
      <c r="AA65" s="134">
        <f>AA12*(1+Dashboard_2!$H$58)^Model_2!AA$54</f>
        <v>0</v>
      </c>
      <c r="AB65" s="134">
        <f>AB12*(1+Dashboard_2!$H$58)^Model_2!AB$54</f>
        <v>0</v>
      </c>
      <c r="AC65" s="134">
        <f>AC12*(1+Dashboard_2!$H$58)^Model_2!AC$54</f>
        <v>0</v>
      </c>
      <c r="AD65" s="134">
        <f>AD12*(1+Dashboard_2!$H$58)^Model_2!AD$54</f>
        <v>0</v>
      </c>
      <c r="AE65" s="134">
        <f>AE12*(1+Dashboard_2!$H$58)^Model_2!AE$54</f>
        <v>0</v>
      </c>
      <c r="AF65" s="134">
        <f>AF12*(1+Dashboard_2!$H$58)^Model_2!AF$54</f>
        <v>0</v>
      </c>
      <c r="AG65" s="134">
        <f>AG12*(1+Dashboard_2!$H$58)^Model_2!AG$54</f>
        <v>0</v>
      </c>
      <c r="AH65" s="134">
        <f>AH12*(1+Dashboard_2!$H$58)^Model_2!AH$54</f>
        <v>0</v>
      </c>
      <c r="AI65" s="134">
        <f>AI12*(1+Dashboard_2!$H$58)^Model_2!AI$54</f>
        <v>0</v>
      </c>
      <c r="AJ65" s="134">
        <f>AJ12*(1+Dashboard_2!$H$58)^Model_2!AJ$54</f>
        <v>0</v>
      </c>
      <c r="AK65" s="134">
        <f>AK12*(1+Dashboard_2!$H$58)^Model_2!AK$54</f>
        <v>0</v>
      </c>
      <c r="AL65" s="134">
        <f>AL12*(1+Dashboard_2!$H$58)^Model_2!AL$54</f>
        <v>0</v>
      </c>
      <c r="AM65" s="134">
        <f>AM12*(1+Dashboard_2!$H$58)^Model_2!AM$54</f>
        <v>0</v>
      </c>
      <c r="AN65" s="134">
        <f>AN12*(1+Dashboard_2!$H$58)^Model_2!AN$54</f>
        <v>0</v>
      </c>
      <c r="AO65" s="134">
        <f>AO12*(1+Dashboard_2!$H$58)^Model_2!AO$54</f>
        <v>0</v>
      </c>
      <c r="AP65" s="134">
        <f>AP12*(1+Dashboard_2!$H$58)^Model_2!AP$54</f>
        <v>0</v>
      </c>
      <c r="AQ65" s="134">
        <f>AQ12*(1+Dashboard_2!$H$58)^Model_2!AQ$54</f>
        <v>0</v>
      </c>
      <c r="AR65" s="134">
        <f>AR12*(1+Dashboard_2!$H$58)^Model_2!AR$54</f>
        <v>0</v>
      </c>
      <c r="AS65" s="134">
        <f>AS12*(1+Dashboard_2!$H$58)^Model_2!AS$54</f>
        <v>0</v>
      </c>
      <c r="AT65" s="134">
        <f>AT12*(1+Dashboard_2!$H$58)^Model_2!AT$54</f>
        <v>0</v>
      </c>
      <c r="AU65" s="134">
        <f>AU12*(1+Dashboard_2!$H$58)^Model_2!AU$54</f>
        <v>0</v>
      </c>
      <c r="AV65" s="134">
        <f>AV12*(1+Dashboard_2!$H$58)^Model_2!AV$54</f>
        <v>0</v>
      </c>
      <c r="AW65" s="134">
        <f>AW12*(1+Dashboard_2!$H$58)^Model_2!AW$54</f>
        <v>0</v>
      </c>
      <c r="AX65" s="134">
        <f>AX12*(1+Dashboard_2!$H$58)^Model_2!AX$54</f>
        <v>0</v>
      </c>
      <c r="AY65" s="134">
        <f>AY12*(1+Dashboard_2!$H$58)^Model_2!AY$54</f>
        <v>0</v>
      </c>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row>
    <row r="66" spans="1:98" s="138" customFormat="1" x14ac:dyDescent="0.45">
      <c r="A66" s="41" t="str">
        <f t="shared" si="17"/>
        <v>Traffic control cost ($)</v>
      </c>
      <c r="B66" s="134">
        <f>B13*(1+Dashboard_2!$H$58)^Model_2!B$54</f>
        <v>0</v>
      </c>
      <c r="C66" s="134">
        <f>C13*(1+Dashboard_2!$H$58)^Model_2!C$54</f>
        <v>0</v>
      </c>
      <c r="D66" s="134">
        <f>D13*(1+Dashboard_2!$H$58)^Model_2!D$54</f>
        <v>0</v>
      </c>
      <c r="E66" s="134">
        <f>E13*(1+Dashboard_2!$H$58)^Model_2!E$54</f>
        <v>0</v>
      </c>
      <c r="F66" s="134">
        <f>F13*(1+Dashboard_2!$H$58)^Model_2!F$54</f>
        <v>0</v>
      </c>
      <c r="G66" s="134">
        <f>G13*(1+Dashboard_2!$H$58)^Model_2!G$54</f>
        <v>0</v>
      </c>
      <c r="H66" s="134">
        <f>H13*(1+Dashboard_2!$H$58)^Model_2!H$54</f>
        <v>0</v>
      </c>
      <c r="I66" s="134">
        <f>I13*(1+Dashboard_2!$H$58)^Model_2!I$54</f>
        <v>0</v>
      </c>
      <c r="J66" s="134">
        <f>J13*(1+Dashboard_2!$H$58)^Model_2!J$54</f>
        <v>0</v>
      </c>
      <c r="K66" s="134">
        <f>K13*(1+Dashboard_2!$H$58)^Model_2!K$54</f>
        <v>0</v>
      </c>
      <c r="L66" s="134">
        <f>L13*(1+Dashboard_2!$H$58)^Model_2!L$54</f>
        <v>0</v>
      </c>
      <c r="M66" s="134">
        <f>M13*(1+Dashboard_2!$H$58)^Model_2!M$54</f>
        <v>0</v>
      </c>
      <c r="N66" s="134">
        <f>N13*(1+Dashboard_2!$H$58)^Model_2!N$54</f>
        <v>0</v>
      </c>
      <c r="O66" s="134">
        <f>O13*(1+Dashboard_2!$H$58)^Model_2!O$54</f>
        <v>0</v>
      </c>
      <c r="P66" s="134">
        <f>P13*(1+Dashboard_2!$H$58)^Model_2!P$54</f>
        <v>0</v>
      </c>
      <c r="Q66" s="134">
        <f>Q13*(1+Dashboard_2!$H$58)^Model_2!Q$54</f>
        <v>0</v>
      </c>
      <c r="R66" s="134">
        <f>R13*(1+Dashboard_2!$H$58)^Model_2!R$54</f>
        <v>0</v>
      </c>
      <c r="S66" s="134">
        <f>S13*(1+Dashboard_2!$H$58)^Model_2!S$54</f>
        <v>0</v>
      </c>
      <c r="T66" s="134">
        <f>T13*(1+Dashboard_2!$H$58)^Model_2!T$54</f>
        <v>0</v>
      </c>
      <c r="U66" s="134">
        <f>U13*(1+Dashboard_2!$H$58)^Model_2!U$54</f>
        <v>0</v>
      </c>
      <c r="V66" s="134">
        <f>V13*(1+Dashboard_2!$H$58)^Model_2!V$54</f>
        <v>0</v>
      </c>
      <c r="W66" s="134">
        <f>W13*(1+Dashboard_2!$H$58)^Model_2!W$54</f>
        <v>0</v>
      </c>
      <c r="X66" s="134">
        <f>X13*(1+Dashboard_2!$H$58)^Model_2!X$54</f>
        <v>0</v>
      </c>
      <c r="Y66" s="134">
        <f>Y13*(1+Dashboard_2!$H$58)^Model_2!Y$54</f>
        <v>0</v>
      </c>
      <c r="Z66" s="134">
        <f>Z13*(1+Dashboard_2!$H$58)^Model_2!Z$54</f>
        <v>0</v>
      </c>
      <c r="AA66" s="134">
        <f>AA13*(1+Dashboard_2!$H$58)^Model_2!AA$54</f>
        <v>0</v>
      </c>
      <c r="AB66" s="134">
        <f>AB13*(1+Dashboard_2!$H$58)^Model_2!AB$54</f>
        <v>0</v>
      </c>
      <c r="AC66" s="134">
        <f>AC13*(1+Dashboard_2!$H$58)^Model_2!AC$54</f>
        <v>0</v>
      </c>
      <c r="AD66" s="134">
        <f>AD13*(1+Dashboard_2!$H$58)^Model_2!AD$54</f>
        <v>0</v>
      </c>
      <c r="AE66" s="134">
        <f>AE13*(1+Dashboard_2!$H$58)^Model_2!AE$54</f>
        <v>0</v>
      </c>
      <c r="AF66" s="134">
        <f>AF13*(1+Dashboard_2!$H$58)^Model_2!AF$54</f>
        <v>0</v>
      </c>
      <c r="AG66" s="134">
        <f>AG13*(1+Dashboard_2!$H$58)^Model_2!AG$54</f>
        <v>0</v>
      </c>
      <c r="AH66" s="134">
        <f>AH13*(1+Dashboard_2!$H$58)^Model_2!AH$54</f>
        <v>0</v>
      </c>
      <c r="AI66" s="134">
        <f>AI13*(1+Dashboard_2!$H$58)^Model_2!AI$54</f>
        <v>0</v>
      </c>
      <c r="AJ66" s="134">
        <f>AJ13*(1+Dashboard_2!$H$58)^Model_2!AJ$54</f>
        <v>0</v>
      </c>
      <c r="AK66" s="134">
        <f>AK13*(1+Dashboard_2!$H$58)^Model_2!AK$54</f>
        <v>0</v>
      </c>
      <c r="AL66" s="134">
        <f>AL13*(1+Dashboard_2!$H$58)^Model_2!AL$54</f>
        <v>0</v>
      </c>
      <c r="AM66" s="134">
        <f>AM13*(1+Dashboard_2!$H$58)^Model_2!AM$54</f>
        <v>0</v>
      </c>
      <c r="AN66" s="134">
        <f>AN13*(1+Dashboard_2!$H$58)^Model_2!AN$54</f>
        <v>0</v>
      </c>
      <c r="AO66" s="134">
        <f>AO13*(1+Dashboard_2!$H$58)^Model_2!AO$54</f>
        <v>0</v>
      </c>
      <c r="AP66" s="134">
        <f>AP13*(1+Dashboard_2!$H$58)^Model_2!AP$54</f>
        <v>0</v>
      </c>
      <c r="AQ66" s="134">
        <f>AQ13*(1+Dashboard_2!$H$58)^Model_2!AQ$54</f>
        <v>0</v>
      </c>
      <c r="AR66" s="134">
        <f>AR13*(1+Dashboard_2!$H$58)^Model_2!AR$54</f>
        <v>0</v>
      </c>
      <c r="AS66" s="134">
        <f>AS13*(1+Dashboard_2!$H$58)^Model_2!AS$54</f>
        <v>0</v>
      </c>
      <c r="AT66" s="134">
        <f>AT13*(1+Dashboard_2!$H$58)^Model_2!AT$54</f>
        <v>0</v>
      </c>
      <c r="AU66" s="134">
        <f>AU13*(1+Dashboard_2!$H$58)^Model_2!AU$54</f>
        <v>0</v>
      </c>
      <c r="AV66" s="134">
        <f>AV13*(1+Dashboard_2!$H$58)^Model_2!AV$54</f>
        <v>0</v>
      </c>
      <c r="AW66" s="134">
        <f>AW13*(1+Dashboard_2!$H$58)^Model_2!AW$54</f>
        <v>0</v>
      </c>
      <c r="AX66" s="134">
        <f>AX13*(1+Dashboard_2!$H$58)^Model_2!AX$54</f>
        <v>0</v>
      </c>
      <c r="AY66" s="134">
        <f>AY13*(1+Dashboard_2!$H$58)^Model_2!AY$54</f>
        <v>0</v>
      </c>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row>
    <row r="67" spans="1:98" s="138" customFormat="1" x14ac:dyDescent="0.45">
      <c r="A67" s="41" t="str">
        <f t="shared" si="17"/>
        <v>Guard rails</v>
      </c>
      <c r="B67" s="134">
        <f>B14*(1+Dashboard_2!$H$58)^Model_2!B$54</f>
        <v>0</v>
      </c>
      <c r="C67" s="134">
        <f>C14*(1+Dashboard_2!$H$58)^Model_2!C$54</f>
        <v>0</v>
      </c>
      <c r="D67" s="134">
        <f>D14*(1+Dashboard_2!$H$58)^Model_2!D$54</f>
        <v>0</v>
      </c>
      <c r="E67" s="134">
        <f>E14*(1+Dashboard_2!$H$58)^Model_2!E$54</f>
        <v>0</v>
      </c>
      <c r="F67" s="134">
        <f>F14*(1+Dashboard_2!$H$58)^Model_2!F$54</f>
        <v>0</v>
      </c>
      <c r="G67" s="134">
        <f>G14*(1+Dashboard_2!$H$58)^Model_2!G$54</f>
        <v>0</v>
      </c>
      <c r="H67" s="134">
        <f>H14*(1+Dashboard_2!$H$58)^Model_2!H$54</f>
        <v>0</v>
      </c>
      <c r="I67" s="134">
        <f>I14*(1+Dashboard_2!$H$58)^Model_2!I$54</f>
        <v>0</v>
      </c>
      <c r="J67" s="134">
        <f>J14*(1+Dashboard_2!$H$58)^Model_2!J$54</f>
        <v>0</v>
      </c>
      <c r="K67" s="134">
        <f>K14*(1+Dashboard_2!$H$58)^Model_2!K$54</f>
        <v>0</v>
      </c>
      <c r="L67" s="134">
        <f>L14*(1+Dashboard_2!$H$58)^Model_2!L$54</f>
        <v>0</v>
      </c>
      <c r="M67" s="134">
        <f>M14*(1+Dashboard_2!$H$58)^Model_2!M$54</f>
        <v>0</v>
      </c>
      <c r="N67" s="134">
        <f>N14*(1+Dashboard_2!$H$58)^Model_2!N$54</f>
        <v>0</v>
      </c>
      <c r="O67" s="134">
        <f>O14*(1+Dashboard_2!$H$58)^Model_2!O$54</f>
        <v>0</v>
      </c>
      <c r="P67" s="134">
        <f>P14*(1+Dashboard_2!$H$58)^Model_2!P$54</f>
        <v>0</v>
      </c>
      <c r="Q67" s="134">
        <f>Q14*(1+Dashboard_2!$H$58)^Model_2!Q$54</f>
        <v>0</v>
      </c>
      <c r="R67" s="134">
        <f>R14*(1+Dashboard_2!$H$58)^Model_2!R$54</f>
        <v>0</v>
      </c>
      <c r="S67" s="134">
        <f>S14*(1+Dashboard_2!$H$58)^Model_2!S$54</f>
        <v>0</v>
      </c>
      <c r="T67" s="134">
        <f>T14*(1+Dashboard_2!$H$58)^Model_2!T$54</f>
        <v>0</v>
      </c>
      <c r="U67" s="134">
        <f>U14*(1+Dashboard_2!$H$58)^Model_2!U$54</f>
        <v>0</v>
      </c>
      <c r="V67" s="134">
        <f>V14*(1+Dashboard_2!$H$58)^Model_2!V$54</f>
        <v>0</v>
      </c>
      <c r="W67" s="134">
        <f>W14*(1+Dashboard_2!$H$58)^Model_2!W$54</f>
        <v>0</v>
      </c>
      <c r="X67" s="134">
        <f>X14*(1+Dashboard_2!$H$58)^Model_2!X$54</f>
        <v>0</v>
      </c>
      <c r="Y67" s="134">
        <f>Y14*(1+Dashboard_2!$H$58)^Model_2!Y$54</f>
        <v>0</v>
      </c>
      <c r="Z67" s="134">
        <f>Z14*(1+Dashboard_2!$H$58)^Model_2!Z$54</f>
        <v>0</v>
      </c>
      <c r="AA67" s="134">
        <f>AA14*(1+Dashboard_2!$H$58)^Model_2!AA$54</f>
        <v>0</v>
      </c>
      <c r="AB67" s="134">
        <f>AB14*(1+Dashboard_2!$H$58)^Model_2!AB$54</f>
        <v>0</v>
      </c>
      <c r="AC67" s="134">
        <f>AC14*(1+Dashboard_2!$H$58)^Model_2!AC$54</f>
        <v>0</v>
      </c>
      <c r="AD67" s="134">
        <f>AD14*(1+Dashboard_2!$H$58)^Model_2!AD$54</f>
        <v>0</v>
      </c>
      <c r="AE67" s="134">
        <f>AE14*(1+Dashboard_2!$H$58)^Model_2!AE$54</f>
        <v>0</v>
      </c>
      <c r="AF67" s="134">
        <f>AF14*(1+Dashboard_2!$H$58)^Model_2!AF$54</f>
        <v>0</v>
      </c>
      <c r="AG67" s="134">
        <f>AG14*(1+Dashboard_2!$H$58)^Model_2!AG$54</f>
        <v>0</v>
      </c>
      <c r="AH67" s="134">
        <f>AH14*(1+Dashboard_2!$H$58)^Model_2!AH$54</f>
        <v>0</v>
      </c>
      <c r="AI67" s="134">
        <f>AI14*(1+Dashboard_2!$H$58)^Model_2!AI$54</f>
        <v>0</v>
      </c>
      <c r="AJ67" s="134">
        <f>AJ14*(1+Dashboard_2!$H$58)^Model_2!AJ$54</f>
        <v>0</v>
      </c>
      <c r="AK67" s="134">
        <f>AK14*(1+Dashboard_2!$H$58)^Model_2!AK$54</f>
        <v>0</v>
      </c>
      <c r="AL67" s="134">
        <f>AL14*(1+Dashboard_2!$H$58)^Model_2!AL$54</f>
        <v>0</v>
      </c>
      <c r="AM67" s="134">
        <f>AM14*(1+Dashboard_2!$H$58)^Model_2!AM$54</f>
        <v>0</v>
      </c>
      <c r="AN67" s="134">
        <f>AN14*(1+Dashboard_2!$H$58)^Model_2!AN$54</f>
        <v>0</v>
      </c>
      <c r="AO67" s="134">
        <f>AO14*(1+Dashboard_2!$H$58)^Model_2!AO$54</f>
        <v>0</v>
      </c>
      <c r="AP67" s="134">
        <f>AP14*(1+Dashboard_2!$H$58)^Model_2!AP$54</f>
        <v>0</v>
      </c>
      <c r="AQ67" s="134">
        <f>AQ14*(1+Dashboard_2!$H$58)^Model_2!AQ$54</f>
        <v>0</v>
      </c>
      <c r="AR67" s="134">
        <f>AR14*(1+Dashboard_2!$H$58)^Model_2!AR$54</f>
        <v>0</v>
      </c>
      <c r="AS67" s="134">
        <f>AS14*(1+Dashboard_2!$H$58)^Model_2!AS$54</f>
        <v>0</v>
      </c>
      <c r="AT67" s="134">
        <f>AT14*(1+Dashboard_2!$H$58)^Model_2!AT$54</f>
        <v>0</v>
      </c>
      <c r="AU67" s="134">
        <f>AU14*(1+Dashboard_2!$H$58)^Model_2!AU$54</f>
        <v>0</v>
      </c>
      <c r="AV67" s="134">
        <f>AV14*(1+Dashboard_2!$H$58)^Model_2!AV$54</f>
        <v>0</v>
      </c>
      <c r="AW67" s="134">
        <f>AW14*(1+Dashboard_2!$H$58)^Model_2!AW$54</f>
        <v>0</v>
      </c>
      <c r="AX67" s="134">
        <f>AX14*(1+Dashboard_2!$H$58)^Model_2!AX$54</f>
        <v>0</v>
      </c>
      <c r="AY67" s="134">
        <f>AY14*(1+Dashboard_2!$H$58)^Model_2!AY$54</f>
        <v>0</v>
      </c>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row>
    <row r="68" spans="1:98" s="138" customFormat="1" x14ac:dyDescent="0.45">
      <c r="A68" s="41" t="str">
        <f t="shared" si="17"/>
        <v>StrataVault or Strata cells ($)</v>
      </c>
      <c r="B68" s="134">
        <f>B15*(1+Dashboard_2!$H$58)^Model_2!B$54</f>
        <v>0</v>
      </c>
      <c r="C68" s="134">
        <f>C15*(1+Dashboard_2!$H$58)^Model_2!C$54</f>
        <v>0</v>
      </c>
      <c r="D68" s="134">
        <f>D15*(1+Dashboard_2!$H$58)^Model_2!D$54</f>
        <v>0</v>
      </c>
      <c r="E68" s="134">
        <f>E15*(1+Dashboard_2!$H$58)^Model_2!E$54</f>
        <v>0</v>
      </c>
      <c r="F68" s="134">
        <f>F15*(1+Dashboard_2!$H$58)^Model_2!F$54</f>
        <v>0</v>
      </c>
      <c r="G68" s="134">
        <f>G15*(1+Dashboard_2!$H$58)^Model_2!G$54</f>
        <v>0</v>
      </c>
      <c r="H68" s="134">
        <f>H15*(1+Dashboard_2!$H$58)^Model_2!H$54</f>
        <v>0</v>
      </c>
      <c r="I68" s="134">
        <f>I15*(1+Dashboard_2!$H$58)^Model_2!I$54</f>
        <v>0</v>
      </c>
      <c r="J68" s="134">
        <f>J15*(1+Dashboard_2!$H$58)^Model_2!J$54</f>
        <v>0</v>
      </c>
      <c r="K68" s="134">
        <f>K15*(1+Dashboard_2!$H$58)^Model_2!K$54</f>
        <v>0</v>
      </c>
      <c r="L68" s="134">
        <f>L15*(1+Dashboard_2!$H$58)^Model_2!L$54</f>
        <v>0</v>
      </c>
      <c r="M68" s="134">
        <f>M15*(1+Dashboard_2!$H$58)^Model_2!M$54</f>
        <v>0</v>
      </c>
      <c r="N68" s="134">
        <f>N15*(1+Dashboard_2!$H$58)^Model_2!N$54</f>
        <v>0</v>
      </c>
      <c r="O68" s="134">
        <f>O15*(1+Dashboard_2!$H$58)^Model_2!O$54</f>
        <v>0</v>
      </c>
      <c r="P68" s="134">
        <f>P15*(1+Dashboard_2!$H$58)^Model_2!P$54</f>
        <v>0</v>
      </c>
      <c r="Q68" s="134">
        <f>Q15*(1+Dashboard_2!$H$58)^Model_2!Q$54</f>
        <v>0</v>
      </c>
      <c r="R68" s="134">
        <f>R15*(1+Dashboard_2!$H$58)^Model_2!R$54</f>
        <v>0</v>
      </c>
      <c r="S68" s="134">
        <f>S15*(1+Dashboard_2!$H$58)^Model_2!S$54</f>
        <v>0</v>
      </c>
      <c r="T68" s="134">
        <f>T15*(1+Dashboard_2!$H$58)^Model_2!T$54</f>
        <v>0</v>
      </c>
      <c r="U68" s="134">
        <f>U15*(1+Dashboard_2!$H$58)^Model_2!U$54</f>
        <v>0</v>
      </c>
      <c r="V68" s="134">
        <f>V15*(1+Dashboard_2!$H$58)^Model_2!V$54</f>
        <v>0</v>
      </c>
      <c r="W68" s="134">
        <f>W15*(1+Dashboard_2!$H$58)^Model_2!W$54</f>
        <v>0</v>
      </c>
      <c r="X68" s="134">
        <f>X15*(1+Dashboard_2!$H$58)^Model_2!X$54</f>
        <v>0</v>
      </c>
      <c r="Y68" s="134">
        <f>Y15*(1+Dashboard_2!$H$58)^Model_2!Y$54</f>
        <v>0</v>
      </c>
      <c r="Z68" s="134">
        <f>Z15*(1+Dashboard_2!$H$58)^Model_2!Z$54</f>
        <v>0</v>
      </c>
      <c r="AA68" s="134">
        <f>AA15*(1+Dashboard_2!$H$58)^Model_2!AA$54</f>
        <v>0</v>
      </c>
      <c r="AB68" s="134">
        <f>AB15*(1+Dashboard_2!$H$58)^Model_2!AB$54</f>
        <v>0</v>
      </c>
      <c r="AC68" s="134">
        <f>AC15*(1+Dashboard_2!$H$58)^Model_2!AC$54</f>
        <v>0</v>
      </c>
      <c r="AD68" s="134">
        <f>AD15*(1+Dashboard_2!$H$58)^Model_2!AD$54</f>
        <v>0</v>
      </c>
      <c r="AE68" s="134">
        <f>AE15*(1+Dashboard_2!$H$58)^Model_2!AE$54</f>
        <v>0</v>
      </c>
      <c r="AF68" s="134">
        <f>AF15*(1+Dashboard_2!$H$58)^Model_2!AF$54</f>
        <v>0</v>
      </c>
      <c r="AG68" s="134">
        <f>AG15*(1+Dashboard_2!$H$58)^Model_2!AG$54</f>
        <v>0</v>
      </c>
      <c r="AH68" s="134">
        <f>AH15*(1+Dashboard_2!$H$58)^Model_2!AH$54</f>
        <v>0</v>
      </c>
      <c r="AI68" s="134">
        <f>AI15*(1+Dashboard_2!$H$58)^Model_2!AI$54</f>
        <v>0</v>
      </c>
      <c r="AJ68" s="134">
        <f>AJ15*(1+Dashboard_2!$H$58)^Model_2!AJ$54</f>
        <v>0</v>
      </c>
      <c r="AK68" s="134">
        <f>AK15*(1+Dashboard_2!$H$58)^Model_2!AK$54</f>
        <v>0</v>
      </c>
      <c r="AL68" s="134">
        <f>AL15*(1+Dashboard_2!$H$58)^Model_2!AL$54</f>
        <v>0</v>
      </c>
      <c r="AM68" s="134">
        <f>AM15*(1+Dashboard_2!$H$58)^Model_2!AM$54</f>
        <v>0</v>
      </c>
      <c r="AN68" s="134">
        <f>AN15*(1+Dashboard_2!$H$58)^Model_2!AN$54</f>
        <v>0</v>
      </c>
      <c r="AO68" s="134">
        <f>AO15*(1+Dashboard_2!$H$58)^Model_2!AO$54</f>
        <v>0</v>
      </c>
      <c r="AP68" s="134">
        <f>AP15*(1+Dashboard_2!$H$58)^Model_2!AP$54</f>
        <v>0</v>
      </c>
      <c r="AQ68" s="134">
        <f>AQ15*(1+Dashboard_2!$H$58)^Model_2!AQ$54</f>
        <v>0</v>
      </c>
      <c r="AR68" s="134">
        <f>AR15*(1+Dashboard_2!$H$58)^Model_2!AR$54</f>
        <v>0</v>
      </c>
      <c r="AS68" s="134">
        <f>AS15*(1+Dashboard_2!$H$58)^Model_2!AS$54</f>
        <v>0</v>
      </c>
      <c r="AT68" s="134">
        <f>AT15*(1+Dashboard_2!$H$58)^Model_2!AT$54</f>
        <v>0</v>
      </c>
      <c r="AU68" s="134">
        <f>AU15*(1+Dashboard_2!$H$58)^Model_2!AU$54</f>
        <v>0</v>
      </c>
      <c r="AV68" s="134">
        <f>AV15*(1+Dashboard_2!$H$58)^Model_2!AV$54</f>
        <v>0</v>
      </c>
      <c r="AW68" s="134">
        <f>AW15*(1+Dashboard_2!$H$58)^Model_2!AW$54</f>
        <v>0</v>
      </c>
      <c r="AX68" s="134">
        <f>AX15*(1+Dashboard_2!$H$58)^Model_2!AX$54</f>
        <v>0</v>
      </c>
      <c r="AY68" s="134">
        <f>AY15*(1+Dashboard_2!$H$58)^Model_2!AY$54</f>
        <v>0</v>
      </c>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row>
    <row r="69" spans="1:98" s="138" customFormat="1" x14ac:dyDescent="0.45">
      <c r="A69" s="41" t="s">
        <v>272</v>
      </c>
      <c r="B69" s="134">
        <f>SUM(B19:B20)*(1+Dashboard_2!$H$58)^Model_2!B$54</f>
        <v>4800</v>
      </c>
      <c r="C69" s="134">
        <f>SUM(C19:C20)*(1+Dashboard_2!$H$58)^Model_2!C$54</f>
        <v>1639.9999999999998</v>
      </c>
      <c r="D69" s="134">
        <f>SUM(D19:D20)*(1+Dashboard_2!$H$58)^Model_2!D$54</f>
        <v>1680.9999999999998</v>
      </c>
      <c r="E69" s="134">
        <f>SUM(E19:E20)*(1+Dashboard_2!$H$58)^Model_2!E$54</f>
        <v>1723.0249999999999</v>
      </c>
      <c r="F69" s="134">
        <f>SUM(F19:F20)*(1+Dashboard_2!$H$58)^Model_2!F$54</f>
        <v>1766.1006249999996</v>
      </c>
      <c r="G69" s="134">
        <f>SUM(G19:G20)*(1+Dashboard_2!$H$58)^Model_2!G$54</f>
        <v>1810.2531406249996</v>
      </c>
      <c r="H69" s="134">
        <f>SUM(H19:H20)*(1+Dashboard_2!$H$58)^Model_2!H$54</f>
        <v>1855.5094691406243</v>
      </c>
      <c r="I69" s="134">
        <f>SUM(I19:I20)*(1+Dashboard_2!$H$58)^Model_2!I$54</f>
        <v>1901.89720586914</v>
      </c>
      <c r="J69" s="134">
        <f>SUM(J19:J20)*(1+Dashboard_2!$H$58)^Model_2!J$54</f>
        <v>1949.4446360158684</v>
      </c>
      <c r="K69" s="134">
        <f>SUM(K19:K20)*(1+Dashboard_2!$H$58)^Model_2!K$54</f>
        <v>1998.1807519162646</v>
      </c>
      <c r="L69" s="134">
        <f>SUM(L19:L20)*(1+Dashboard_2!$H$58)^Model_2!L$54</f>
        <v>2048.1352707141714</v>
      </c>
      <c r="M69" s="134">
        <f>SUM(M19:M20)*(1+Dashboard_2!$H$58)^Model_2!M$54</f>
        <v>2099.3386524820257</v>
      </c>
      <c r="N69" s="134">
        <f>SUM(N19:N20)*(1+Dashboard_2!$H$58)^Model_2!N$54</f>
        <v>2151.8221187940762</v>
      </c>
      <c r="O69" s="134">
        <f>SUM(O19:O20)*(1+Dashboard_2!$H$58)^Model_2!O$54</f>
        <v>2205.6176717639278</v>
      </c>
      <c r="P69" s="134">
        <f>SUM(P19:P20)*(1+Dashboard_2!$H$58)^Model_2!P$54</f>
        <v>2260.7581135580258</v>
      </c>
      <c r="Q69" s="134">
        <f>SUM(Q19:Q20)*(1+Dashboard_2!$H$58)^Model_2!Q$54</f>
        <v>2317.2770663969768</v>
      </c>
      <c r="R69" s="134">
        <f>SUM(R19:R20)*(1+Dashboard_2!$H$58)^Model_2!R$54</f>
        <v>2375.2089930569009</v>
      </c>
      <c r="S69" s="134">
        <f>SUM(S19:S20)*(1+Dashboard_2!$H$58)^Model_2!S$54</f>
        <v>2434.5892178833233</v>
      </c>
      <c r="T69" s="134">
        <f>SUM(T19:T20)*(1+Dashboard_2!$H$58)^Model_2!T$54</f>
        <v>2495.4539483304065</v>
      </c>
      <c r="U69" s="134">
        <f>SUM(U19:U20)*(1+Dashboard_2!$H$58)^Model_2!U$54</f>
        <v>2557.8402970386664</v>
      </c>
      <c r="V69" s="134">
        <f>SUM(V19:V20)*(1+Dashboard_2!$H$58)^Model_2!V$54</f>
        <v>2621.7863044646328</v>
      </c>
      <c r="W69" s="134">
        <f>SUM(W19:W20)*(1+Dashboard_2!$H$58)^Model_2!W$54</f>
        <v>2687.3309620762484</v>
      </c>
      <c r="X69" s="134">
        <f>SUM(X19:X20)*(1+Dashboard_2!$H$58)^Model_2!X$54</f>
        <v>2754.5142361281546</v>
      </c>
      <c r="Y69" s="134">
        <f>SUM(Y19:Y20)*(1+Dashboard_2!$H$58)^Model_2!Y$54</f>
        <v>2823.3770920313586</v>
      </c>
      <c r="Z69" s="134">
        <f>SUM(Z19:Z20)*(1+Dashboard_2!$H$58)^Model_2!Z$54</f>
        <v>2893.9615193321424</v>
      </c>
      <c r="AA69" s="134">
        <f>SUM(AA19:AA20)*(1+Dashboard_2!$H$58)^Model_2!AA$54</f>
        <v>2966.3105573154453</v>
      </c>
      <c r="AB69" s="134">
        <f>SUM(AB19:AB20)*(1+Dashboard_2!$H$58)^Model_2!AB$54</f>
        <v>3040.4683212483314</v>
      </c>
      <c r="AC69" s="134">
        <f>SUM(AC19:AC20)*(1+Dashboard_2!$H$58)^Model_2!AC$54</f>
        <v>3116.4800292795394</v>
      </c>
      <c r="AD69" s="134">
        <f>SUM(AD19:AD20)*(1+Dashboard_2!$H$58)^Model_2!AD$54</f>
        <v>3194.3920300115278</v>
      </c>
      <c r="AE69" s="134">
        <f>SUM(AE19:AE20)*(1+Dashboard_2!$H$58)^Model_2!AE$54</f>
        <v>3274.2518307618161</v>
      </c>
      <c r="AF69" s="134">
        <f>SUM(AF19:AF20)*(1+Dashboard_2!$H$58)^Model_2!AF$54</f>
        <v>3356.1081265308608</v>
      </c>
      <c r="AG69" s="134">
        <f>SUM(AG19:AG20)*(1+Dashboard_2!$H$58)^Model_2!AG$54</f>
        <v>3440.0108296941335</v>
      </c>
      <c r="AH69" s="134">
        <f>SUM(AH19:AH20)*(1+Dashboard_2!$H$58)^Model_2!AH$54</f>
        <v>3526.0111004364858</v>
      </c>
      <c r="AI69" s="134">
        <f>SUM(AI19:AI20)*(1+Dashboard_2!$H$58)^Model_2!AI$54</f>
        <v>3614.1613779473978</v>
      </c>
      <c r="AJ69" s="134">
        <f>SUM(AJ19:AJ20)*(1+Dashboard_2!$H$58)^Model_2!AJ$54</f>
        <v>3704.5154123960829</v>
      </c>
      <c r="AK69" s="134">
        <f>SUM(AK19:AK20)*(1+Dashboard_2!$H$58)^Model_2!AK$54</f>
        <v>3797.1282977059846</v>
      </c>
      <c r="AL69" s="134">
        <f>SUM(AL19:AL20)*(1+Dashboard_2!$H$58)^Model_2!AL$54</f>
        <v>3892.0565051486342</v>
      </c>
      <c r="AM69" s="134">
        <f>SUM(AM19:AM20)*(1+Dashboard_2!$H$58)^Model_2!AM$54</f>
        <v>3989.3579177773495</v>
      </c>
      <c r="AN69" s="134">
        <f>SUM(AN19:AN20)*(1+Dashboard_2!$H$58)^Model_2!AN$54</f>
        <v>4089.0918657217826</v>
      </c>
      <c r="AO69" s="134">
        <f>SUM(AO19:AO20)*(1+Dashboard_2!$H$58)^Model_2!AO$54</f>
        <v>4191.3191623648272</v>
      </c>
      <c r="AP69" s="134">
        <f>SUM(AP19:AP20)*(1+Dashboard_2!$H$58)^Model_2!AP$54</f>
        <v>4296.1021414239476</v>
      </c>
      <c r="AQ69" s="134">
        <f>SUM(AQ19:AQ20)*(1+Dashboard_2!$H$58)^Model_2!AQ$54</f>
        <v>4403.5046949595462</v>
      </c>
      <c r="AR69" s="134">
        <f>SUM(AR19:AR20)*(1+Dashboard_2!$H$58)^Model_2!AR$54</f>
        <v>4513.5923123335342</v>
      </c>
      <c r="AS69" s="134">
        <f>SUM(AS19:AS20)*(1+Dashboard_2!$H$58)^Model_2!AS$54</f>
        <v>4626.4321201418734</v>
      </c>
      <c r="AT69" s="134">
        <f>SUM(AT19:AT20)*(1+Dashboard_2!$H$58)^Model_2!AT$54</f>
        <v>4742.0929231454193</v>
      </c>
      <c r="AU69" s="134">
        <f>SUM(AU19:AU20)*(1+Dashboard_2!$H$58)^Model_2!AU$54</f>
        <v>4860.645246224055</v>
      </c>
      <c r="AV69" s="134">
        <f>SUM(AV19:AV20)*(1+Dashboard_2!$H$58)^Model_2!AV$54</f>
        <v>4982.1613773796553</v>
      </c>
      <c r="AW69" s="134">
        <f>SUM(AW19:AW20)*(1+Dashboard_2!$H$58)^Model_2!AW$54</f>
        <v>5106.715411814147</v>
      </c>
      <c r="AX69" s="134">
        <f>SUM(AX19:AX20)*(1+Dashboard_2!$H$58)^Model_2!AX$54</f>
        <v>5234.3832971095007</v>
      </c>
      <c r="AY69" s="134">
        <f>SUM(AY19:AY20)*(1+Dashboard_2!$H$58)^Model_2!AY$54</f>
        <v>5365.2428795372371</v>
      </c>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row>
    <row r="70" spans="1:98" s="138" customFormat="1" x14ac:dyDescent="0.45">
      <c r="A70" s="41" t="s">
        <v>87</v>
      </c>
      <c r="B70" s="134">
        <f>SUM(B21:B23)*(1+Dashboard_2!$H$58)^Model_2!B$54</f>
        <v>13299</v>
      </c>
      <c r="C70" s="134">
        <f>SUM(C21:C23)*(1+Dashboard_2!$H$58)^Model_2!C$54</f>
        <v>3597.7499999999991</v>
      </c>
      <c r="D70" s="134">
        <f>SUM(D21:D23)*(1+Dashboard_2!$H$58)^Model_2!D$54</f>
        <v>2765.7703124999994</v>
      </c>
      <c r="E70" s="134">
        <f>SUM(E21:E23)*(1+Dashboard_2!$H$58)^Model_2!E$54</f>
        <v>2834.9145703124991</v>
      </c>
      <c r="F70" s="134">
        <f>SUM(F21:F23)*(1+Dashboard_2!$H$58)^Model_2!F$54</f>
        <v>2905.7874345703112</v>
      </c>
      <c r="G70" s="134">
        <f>SUM(G21:G23)*(1+Dashboard_2!$H$58)^Model_2!G$54</f>
        <v>2978.4321204345688</v>
      </c>
      <c r="H70" s="134">
        <f>SUM(H21:H23)*(1+Dashboard_2!$H$58)^Model_2!H$54</f>
        <v>3052.8929234454331</v>
      </c>
      <c r="I70" s="134">
        <f>SUM(I21:I23)*(1+Dashboard_2!$H$58)^Model_2!I$54</f>
        <v>3129.2152465315689</v>
      </c>
      <c r="J70" s="134">
        <f>SUM(J21:J23)*(1+Dashboard_2!$H$58)^Model_2!J$54</f>
        <v>3207.4456276948576</v>
      </c>
      <c r="K70" s="134">
        <f>SUM(K21:K23)*(1+Dashboard_2!$H$58)^Model_2!K$54</f>
        <v>3287.6317683872285</v>
      </c>
      <c r="L70" s="134">
        <f>SUM(L21:L23)*(1+Dashboard_2!$H$58)^Model_2!L$54</f>
        <v>3369.8225625969094</v>
      </c>
      <c r="M70" s="134">
        <f>SUM(M21:M23)*(1+Dashboard_2!$H$58)^Model_2!M$54</f>
        <v>3454.0681266618321</v>
      </c>
      <c r="N70" s="134">
        <f>SUM(N21:N23)*(1+Dashboard_2!$H$58)^Model_2!N$54</f>
        <v>3540.4198298283777</v>
      </c>
      <c r="O70" s="134">
        <f>SUM(O21:O23)*(1+Dashboard_2!$H$58)^Model_2!O$54</f>
        <v>3628.930325574087</v>
      </c>
      <c r="P70" s="134">
        <f>SUM(P21:P23)*(1+Dashboard_2!$H$58)^Model_2!P$54</f>
        <v>3719.6535837134388</v>
      </c>
      <c r="Q70" s="134">
        <f>SUM(Q21:Q23)*(1+Dashboard_2!$H$58)^Model_2!Q$54</f>
        <v>3812.6449233062754</v>
      </c>
      <c r="R70" s="134">
        <f>SUM(R21:R23)*(1+Dashboard_2!$H$58)^Model_2!R$54</f>
        <v>3907.9610463889317</v>
      </c>
      <c r="S70" s="134">
        <f>SUM(S21:S23)*(1+Dashboard_2!$H$58)^Model_2!S$54</f>
        <v>4005.6600725486546</v>
      </c>
      <c r="T70" s="134">
        <f>SUM(T21:T23)*(1+Dashboard_2!$H$58)^Model_2!T$54</f>
        <v>4105.801574362371</v>
      </c>
      <c r="U70" s="134">
        <f>SUM(U21:U23)*(1+Dashboard_2!$H$58)^Model_2!U$54</f>
        <v>4208.4466137214304</v>
      </c>
      <c r="V70" s="134">
        <f>SUM(V21:V23)*(1+Dashboard_2!$H$58)^Model_2!V$54</f>
        <v>4313.6577790644651</v>
      </c>
      <c r="W70" s="134">
        <f>SUM(W21:W23)*(1+Dashboard_2!$H$58)^Model_2!W$54</f>
        <v>4421.4992235410764</v>
      </c>
      <c r="X70" s="134">
        <f>SUM(X21:X23)*(1+Dashboard_2!$H$58)^Model_2!X$54</f>
        <v>4532.0367041296031</v>
      </c>
      <c r="Y70" s="134">
        <f>SUM(Y21:Y23)*(1+Dashboard_2!$H$58)^Model_2!Y$54</f>
        <v>4645.3376217328441</v>
      </c>
      <c r="Z70" s="134">
        <f>SUM(Z21:Z23)*(1+Dashboard_2!$H$58)^Model_2!Z$54</f>
        <v>4761.471062276165</v>
      </c>
      <c r="AA70" s="134">
        <f>SUM(AA21:AA23)*(1+Dashboard_2!$H$58)^Model_2!AA$54</f>
        <v>4880.5078388330676</v>
      </c>
      <c r="AB70" s="134">
        <f>SUM(AB21:AB23)*(1+Dashboard_2!$H$58)^Model_2!AB$54</f>
        <v>5002.5205348038944</v>
      </c>
      <c r="AC70" s="134">
        <f>SUM(AC21:AC23)*(1+Dashboard_2!$H$58)^Model_2!AC$54</f>
        <v>5127.5835481739914</v>
      </c>
      <c r="AD70" s="134">
        <f>SUM(AD21:AD23)*(1+Dashboard_2!$H$58)^Model_2!AD$54</f>
        <v>5255.7731368783407</v>
      </c>
      <c r="AE70" s="134">
        <f>SUM(AE21:AE23)*(1+Dashboard_2!$H$58)^Model_2!AE$54</f>
        <v>5387.1674653003001</v>
      </c>
      <c r="AF70" s="134">
        <f>SUM(AF21:AF23)*(1+Dashboard_2!$H$58)^Model_2!AF$54</f>
        <v>5521.8466519328058</v>
      </c>
      <c r="AG70" s="134">
        <f>SUM(AG21:AG23)*(1+Dashboard_2!$H$58)^Model_2!AG$54</f>
        <v>5659.8928182311274</v>
      </c>
      <c r="AH70" s="134">
        <f>SUM(AH21:AH23)*(1+Dashboard_2!$H$58)^Model_2!AH$54</f>
        <v>5801.3901386869047</v>
      </c>
      <c r="AI70" s="134">
        <f>SUM(AI21:AI23)*(1+Dashboard_2!$H$58)^Model_2!AI$54</f>
        <v>5946.4248921540766</v>
      </c>
      <c r="AJ70" s="134">
        <f>SUM(AJ21:AJ23)*(1+Dashboard_2!$H$58)^Model_2!AJ$54</f>
        <v>6095.0855144579291</v>
      </c>
      <c r="AK70" s="134">
        <f>SUM(AK21:AK23)*(1+Dashboard_2!$H$58)^Model_2!AK$54</f>
        <v>6247.4626523193765</v>
      </c>
      <c r="AL70" s="134">
        <f>SUM(AL21:AL23)*(1+Dashboard_2!$H$58)^Model_2!AL$54</f>
        <v>6403.6492186273608</v>
      </c>
      <c r="AM70" s="134">
        <f>SUM(AM21:AM23)*(1+Dashboard_2!$H$58)^Model_2!AM$54</f>
        <v>6563.7404490930448</v>
      </c>
      <c r="AN70" s="134">
        <f>SUM(AN21:AN23)*(1+Dashboard_2!$H$58)^Model_2!AN$54</f>
        <v>6727.8339603203685</v>
      </c>
      <c r="AO70" s="134">
        <f>SUM(AO21:AO23)*(1+Dashboard_2!$H$58)^Model_2!AO$54</f>
        <v>6896.0298093283791</v>
      </c>
      <c r="AP70" s="134">
        <f>SUM(AP21:AP23)*(1+Dashboard_2!$H$58)^Model_2!AP$54</f>
        <v>7068.4305545615871</v>
      </c>
      <c r="AQ70" s="134">
        <f>SUM(AQ21:AQ23)*(1+Dashboard_2!$H$58)^Model_2!AQ$54</f>
        <v>7245.1413184256271</v>
      </c>
      <c r="AR70" s="134">
        <f>SUM(AR21:AR23)*(1+Dashboard_2!$H$58)^Model_2!AR$54</f>
        <v>7426.269851386267</v>
      </c>
      <c r="AS70" s="134">
        <f>SUM(AS21:AS23)*(1+Dashboard_2!$H$58)^Model_2!AS$54</f>
        <v>7611.9265976709239</v>
      </c>
      <c r="AT70" s="134">
        <f>SUM(AT21:AT23)*(1+Dashboard_2!$H$58)^Model_2!AT$54</f>
        <v>7802.2247626126955</v>
      </c>
      <c r="AU70" s="134">
        <f>SUM(AU21:AU23)*(1+Dashboard_2!$H$58)^Model_2!AU$54</f>
        <v>7997.2803816780133</v>
      </c>
      <c r="AV70" s="134">
        <f>SUM(AV21:AV23)*(1+Dashboard_2!$H$58)^Model_2!AV$54</f>
        <v>8197.2123912199622</v>
      </c>
      <c r="AW70" s="134">
        <f>SUM(AW21:AW23)*(1+Dashboard_2!$H$58)^Model_2!AW$54</f>
        <v>8402.1427010004627</v>
      </c>
      <c r="AX70" s="134">
        <f>SUM(AX21:AX23)*(1+Dashboard_2!$H$58)^Model_2!AX$54</f>
        <v>8612.196268525473</v>
      </c>
      <c r="AY70" s="134">
        <f>SUM(AY21:AY23)*(1+Dashboard_2!$H$58)^Model_2!AY$54</f>
        <v>8827.501175238609</v>
      </c>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row>
    <row r="71" spans="1:98" s="138" customFormat="1" x14ac:dyDescent="0.45">
      <c r="A71" s="41" t="str">
        <f>A24</f>
        <v>Arborist tree health inspection ($)</v>
      </c>
      <c r="B71" s="145">
        <f>SUM(B24)*(1+Dashboard_2!$H$58)^Model_2!B$54</f>
        <v>500</v>
      </c>
      <c r="C71" s="145">
        <f>SUM(C24)*(1+Dashboard_2!$H$58)^Model_2!C$54</f>
        <v>512.5</v>
      </c>
      <c r="D71" s="145">
        <f>SUM(D24)*(1+Dashboard_2!$H$58)^Model_2!D$54</f>
        <v>525.3125</v>
      </c>
      <c r="E71" s="145">
        <f>SUM(E24)*(1+Dashboard_2!$H$58)^Model_2!E$54</f>
        <v>538.44531249999989</v>
      </c>
      <c r="F71" s="145">
        <f>SUM(F24)*(1+Dashboard_2!$H$58)^Model_2!F$54</f>
        <v>551.90644531249984</v>
      </c>
      <c r="G71" s="145">
        <f>SUM(G24)*(1+Dashboard_2!$H$58)^Model_2!G$54</f>
        <v>565.70410644531228</v>
      </c>
      <c r="H71" s="145">
        <f>SUM(H24)*(1+Dashboard_2!$H$58)^Model_2!H$54</f>
        <v>579.84670910644513</v>
      </c>
      <c r="I71" s="145">
        <f>SUM(I24)*(1+Dashboard_2!$H$58)^Model_2!I$54</f>
        <v>594.34287683410628</v>
      </c>
      <c r="J71" s="145">
        <f>SUM(J24)*(1+Dashboard_2!$H$58)^Model_2!J$54</f>
        <v>609.20144875495885</v>
      </c>
      <c r="K71" s="145">
        <f>SUM(K24)*(1+Dashboard_2!$H$58)^Model_2!K$54</f>
        <v>624.43148497383277</v>
      </c>
      <c r="L71" s="145">
        <f>SUM(L24)*(1+Dashboard_2!$H$58)^Model_2!L$54</f>
        <v>640.0422720981785</v>
      </c>
      <c r="M71" s="145">
        <f>SUM(M24)*(1+Dashboard_2!$H$58)^Model_2!M$54</f>
        <v>656.04332890063301</v>
      </c>
      <c r="N71" s="145">
        <f>SUM(N24)*(1+Dashboard_2!$H$58)^Model_2!N$54</f>
        <v>672.44441212314871</v>
      </c>
      <c r="O71" s="145">
        <f>SUM(O24)*(1+Dashboard_2!$H$58)^Model_2!O$54</f>
        <v>689.25552242622746</v>
      </c>
      <c r="P71" s="145">
        <f>SUM(P24)*(1+Dashboard_2!$H$58)^Model_2!P$54</f>
        <v>706.48691048688306</v>
      </c>
      <c r="Q71" s="145">
        <f>SUM(Q24)*(1+Dashboard_2!$H$58)^Model_2!Q$54</f>
        <v>724.14908324905525</v>
      </c>
      <c r="R71" s="145">
        <f>SUM(R24)*(1+Dashboard_2!$H$58)^Model_2!R$54</f>
        <v>742.25281033028159</v>
      </c>
      <c r="S71" s="145">
        <f>SUM(S24)*(1+Dashboard_2!$H$58)^Model_2!S$54</f>
        <v>760.80913058853855</v>
      </c>
      <c r="T71" s="145">
        <f>SUM(T24)*(1+Dashboard_2!$H$58)^Model_2!T$54</f>
        <v>779.82935885325196</v>
      </c>
      <c r="U71" s="145">
        <f>SUM(U24)*(1+Dashboard_2!$H$58)^Model_2!U$54</f>
        <v>799.32509282458329</v>
      </c>
      <c r="V71" s="145">
        <f>SUM(V24)*(1+Dashboard_2!$H$58)^Model_2!V$54</f>
        <v>819.30822014519777</v>
      </c>
      <c r="W71" s="145">
        <f>SUM(W24)*(1+Dashboard_2!$H$58)^Model_2!W$54</f>
        <v>839.79092564882762</v>
      </c>
      <c r="X71" s="145">
        <f>SUM(X24)*(1+Dashboard_2!$H$58)^Model_2!X$54</f>
        <v>860.78569879004829</v>
      </c>
      <c r="Y71" s="145">
        <f>SUM(Y24)*(1+Dashboard_2!$H$58)^Model_2!Y$54</f>
        <v>882.30534125979955</v>
      </c>
      <c r="Z71" s="145">
        <f>SUM(Z24)*(1+Dashboard_2!$H$58)^Model_2!Z$54</f>
        <v>904.3629747912945</v>
      </c>
      <c r="AA71" s="145">
        <f>SUM(AA24)*(1+Dashboard_2!$H$58)^Model_2!AA$54</f>
        <v>926.97204916107671</v>
      </c>
      <c r="AB71" s="145">
        <f>SUM(AB24)*(1+Dashboard_2!$H$58)^Model_2!AB$54</f>
        <v>950.14635039010352</v>
      </c>
      <c r="AC71" s="145">
        <f>SUM(AC24)*(1+Dashboard_2!$H$58)^Model_2!AC$54</f>
        <v>973.90000914985603</v>
      </c>
      <c r="AD71" s="145">
        <f>SUM(AD24)*(1+Dashboard_2!$H$58)^Model_2!AD$54</f>
        <v>998.24750937860244</v>
      </c>
      <c r="AE71" s="145">
        <f>SUM(AE24)*(1+Dashboard_2!$H$58)^Model_2!AE$54</f>
        <v>1023.2036971130676</v>
      </c>
      <c r="AF71" s="145">
        <f>SUM(AF24)*(1+Dashboard_2!$H$58)^Model_2!AF$54</f>
        <v>1048.7837895408941</v>
      </c>
      <c r="AG71" s="145">
        <f>SUM(AG24)*(1+Dashboard_2!$H$58)^Model_2!AG$54</f>
        <v>1075.0033842794167</v>
      </c>
      <c r="AH71" s="145">
        <f>SUM(AH24)*(1+Dashboard_2!$H$58)^Model_2!AH$54</f>
        <v>1101.8784688864018</v>
      </c>
      <c r="AI71" s="145">
        <f>SUM(AI24)*(1+Dashboard_2!$H$58)^Model_2!AI$54</f>
        <v>1129.4254306085618</v>
      </c>
      <c r="AJ71" s="145">
        <f>SUM(AJ24)*(1+Dashboard_2!$H$58)^Model_2!AJ$54</f>
        <v>1157.6610663737758</v>
      </c>
      <c r="AK71" s="145">
        <f>SUM(AK24)*(1+Dashboard_2!$H$58)^Model_2!AK$54</f>
        <v>1186.60259303312</v>
      </c>
      <c r="AL71" s="145">
        <f>SUM(AL24)*(1+Dashboard_2!$H$58)^Model_2!AL$54</f>
        <v>1216.2676578589483</v>
      </c>
      <c r="AM71" s="145">
        <f>SUM(AM24)*(1+Dashboard_2!$H$58)^Model_2!AM$54</f>
        <v>1246.6743493054219</v>
      </c>
      <c r="AN71" s="145">
        <f>SUM(AN24)*(1+Dashboard_2!$H$58)^Model_2!AN$54</f>
        <v>1277.8412080380569</v>
      </c>
      <c r="AO71" s="145">
        <f>SUM(AO24)*(1+Dashboard_2!$H$58)^Model_2!AO$54</f>
        <v>1309.7872382390085</v>
      </c>
      <c r="AP71" s="145">
        <f>SUM(AP24)*(1+Dashboard_2!$H$58)^Model_2!AP$54</f>
        <v>1342.5319191949836</v>
      </c>
      <c r="AQ71" s="145">
        <f>SUM(AQ24)*(1+Dashboard_2!$H$58)^Model_2!AQ$54</f>
        <v>1376.0952171748581</v>
      </c>
      <c r="AR71" s="145">
        <f>SUM(AR24)*(1+Dashboard_2!$H$58)^Model_2!AR$54</f>
        <v>1410.4975976042294</v>
      </c>
      <c r="AS71" s="145">
        <f>SUM(AS24)*(1+Dashboard_2!$H$58)^Model_2!AS$54</f>
        <v>1445.7600375443353</v>
      </c>
      <c r="AT71" s="145">
        <f>SUM(AT24)*(1+Dashboard_2!$H$58)^Model_2!AT$54</f>
        <v>1481.9040384829434</v>
      </c>
      <c r="AU71" s="145">
        <f>SUM(AU24)*(1+Dashboard_2!$H$58)^Model_2!AU$54</f>
        <v>1518.951639445017</v>
      </c>
      <c r="AV71" s="145">
        <f>SUM(AV24)*(1+Dashboard_2!$H$58)^Model_2!AV$54</f>
        <v>1556.9254304311421</v>
      </c>
      <c r="AW71" s="145">
        <f>SUM(AW24)*(1+Dashboard_2!$H$58)^Model_2!AW$54</f>
        <v>1595.848566191921</v>
      </c>
      <c r="AX71" s="145">
        <f>SUM(AX24)*(1+Dashboard_2!$H$58)^Model_2!AX$54</f>
        <v>1635.7447803467189</v>
      </c>
      <c r="AY71" s="145">
        <f>SUM(AY24)*(1+Dashboard_2!$H$58)^Model_2!AY$54</f>
        <v>1676.6383998553868</v>
      </c>
      <c r="AZ71" s="228"/>
      <c r="BA71" s="228"/>
      <c r="BB71" s="228"/>
      <c r="BC71" s="228"/>
      <c r="BD71" s="228"/>
      <c r="BE71" s="228"/>
      <c r="BF71" s="228"/>
      <c r="BG71" s="228"/>
      <c r="BH71" s="228"/>
      <c r="BI71" s="228"/>
      <c r="BJ71" s="228"/>
      <c r="BK71" s="228"/>
      <c r="BL71" s="228"/>
      <c r="BM71" s="228"/>
      <c r="BN71" s="228"/>
      <c r="BO71" s="228"/>
      <c r="BP71" s="228"/>
      <c r="BQ71" s="228"/>
      <c r="BR71" s="228"/>
      <c r="BS71" s="228"/>
      <c r="BT71" s="228"/>
      <c r="BU71" s="228"/>
      <c r="BV71" s="228"/>
      <c r="BW71" s="228"/>
      <c r="BX71" s="228"/>
      <c r="BY71" s="228"/>
      <c r="BZ71" s="228"/>
      <c r="CA71" s="228"/>
      <c r="CB71" s="228"/>
      <c r="CC71" s="228"/>
      <c r="CD71" s="228"/>
      <c r="CE71" s="228"/>
      <c r="CF71" s="228"/>
      <c r="CG71" s="228"/>
      <c r="CH71" s="228"/>
      <c r="CI71" s="228"/>
      <c r="CJ71" s="228"/>
      <c r="CK71" s="228"/>
      <c r="CL71" s="228"/>
      <c r="CM71" s="228"/>
      <c r="CN71" s="228"/>
      <c r="CO71" s="228"/>
      <c r="CP71" s="228"/>
      <c r="CQ71" s="228"/>
      <c r="CR71" s="228"/>
      <c r="CS71" s="228"/>
      <c r="CT71" s="228"/>
    </row>
    <row r="72" spans="1:98" s="138" customFormat="1" x14ac:dyDescent="0.45">
      <c r="A72" s="41" t="str">
        <f>A25</f>
        <v>Visual tree inspection ($)</v>
      </c>
      <c r="B72" s="145">
        <f>SUM(B25)*(1+Dashboard_2!$H$58)^Model_2!B$54</f>
        <v>300</v>
      </c>
      <c r="C72" s="145">
        <f>SUM(C25)*(1+Dashboard_2!$H$58)^Model_2!C$54</f>
        <v>307.5</v>
      </c>
      <c r="D72" s="145">
        <f>SUM(D25)*(1+Dashboard_2!$H$58)^Model_2!D$54</f>
        <v>315.1875</v>
      </c>
      <c r="E72" s="145">
        <f>SUM(E25)*(1+Dashboard_2!$H$58)^Model_2!E$54</f>
        <v>323.06718749999999</v>
      </c>
      <c r="F72" s="145">
        <f>SUM(F25)*(1+Dashboard_2!$H$58)^Model_2!F$54</f>
        <v>331.14386718749995</v>
      </c>
      <c r="G72" s="145">
        <f>SUM(G25)*(1+Dashboard_2!$H$58)^Model_2!G$54</f>
        <v>339.42246386718739</v>
      </c>
      <c r="H72" s="145">
        <f>SUM(H25)*(1+Dashboard_2!$H$58)^Model_2!H$54</f>
        <v>347.90802546386703</v>
      </c>
      <c r="I72" s="145">
        <f>SUM(I25)*(1+Dashboard_2!$H$58)^Model_2!I$54</f>
        <v>356.60572610046376</v>
      </c>
      <c r="J72" s="145">
        <f>SUM(J25)*(1+Dashboard_2!$H$58)^Model_2!J$54</f>
        <v>365.52086925297533</v>
      </c>
      <c r="K72" s="145">
        <f>SUM(K25)*(1+Dashboard_2!$H$58)^Model_2!K$54</f>
        <v>374.6588909842996</v>
      </c>
      <c r="L72" s="145">
        <f>SUM(L25)*(1+Dashboard_2!$H$58)^Model_2!L$54</f>
        <v>384.02536325890713</v>
      </c>
      <c r="M72" s="145">
        <f>SUM(M25)*(1+Dashboard_2!$H$58)^Model_2!M$54</f>
        <v>393.6259973403798</v>
      </c>
      <c r="N72" s="145">
        <f>SUM(N25)*(1+Dashboard_2!$H$58)^Model_2!N$54</f>
        <v>403.46664727388924</v>
      </c>
      <c r="O72" s="145">
        <f>SUM(O25)*(1+Dashboard_2!$H$58)^Model_2!O$54</f>
        <v>413.55331345573649</v>
      </c>
      <c r="P72" s="145">
        <f>SUM(P25)*(1+Dashboard_2!$H$58)^Model_2!P$54</f>
        <v>423.89214629212984</v>
      </c>
      <c r="Q72" s="145">
        <f>SUM(Q25)*(1+Dashboard_2!$H$58)^Model_2!Q$54</f>
        <v>434.48944994943315</v>
      </c>
      <c r="R72" s="145">
        <f>SUM(R25)*(1+Dashboard_2!$H$58)^Model_2!R$54</f>
        <v>445.35168619816892</v>
      </c>
      <c r="S72" s="145">
        <f>SUM(S25)*(1+Dashboard_2!$H$58)^Model_2!S$54</f>
        <v>456.48547835312309</v>
      </c>
      <c r="T72" s="145">
        <f>SUM(T25)*(1+Dashboard_2!$H$58)^Model_2!T$54</f>
        <v>467.8976153119512</v>
      </c>
      <c r="U72" s="145">
        <f>SUM(U25)*(1+Dashboard_2!$H$58)^Model_2!U$54</f>
        <v>479.59505569474999</v>
      </c>
      <c r="V72" s="145">
        <f>SUM(V25)*(1+Dashboard_2!$H$58)^Model_2!V$54</f>
        <v>491.58493208711866</v>
      </c>
      <c r="W72" s="145">
        <f>SUM(W25)*(1+Dashboard_2!$H$58)^Model_2!W$54</f>
        <v>503.87455538929657</v>
      </c>
      <c r="X72" s="145">
        <f>SUM(X25)*(1+Dashboard_2!$H$58)^Model_2!X$54</f>
        <v>516.47141927402902</v>
      </c>
      <c r="Y72" s="145">
        <f>SUM(Y25)*(1+Dashboard_2!$H$58)^Model_2!Y$54</f>
        <v>529.38320475587977</v>
      </c>
      <c r="Z72" s="145">
        <f>SUM(Z25)*(1+Dashboard_2!$H$58)^Model_2!Z$54</f>
        <v>542.6177848747767</v>
      </c>
      <c r="AA72" s="145">
        <f>SUM(AA25)*(1+Dashboard_2!$H$58)^Model_2!AA$54</f>
        <v>556.18322949664605</v>
      </c>
      <c r="AB72" s="145">
        <f>SUM(AB25)*(1+Dashboard_2!$H$58)^Model_2!AB$54</f>
        <v>570.08781023406209</v>
      </c>
      <c r="AC72" s="145">
        <f>SUM(AC25)*(1+Dashboard_2!$H$58)^Model_2!AC$54</f>
        <v>584.34000548991366</v>
      </c>
      <c r="AD72" s="145">
        <f>SUM(AD25)*(1+Dashboard_2!$H$58)^Model_2!AD$54</f>
        <v>598.94850562716147</v>
      </c>
      <c r="AE72" s="145">
        <f>SUM(AE25)*(1+Dashboard_2!$H$58)^Model_2!AE$54</f>
        <v>613.92221826784055</v>
      </c>
      <c r="AF72" s="145">
        <f>SUM(AF25)*(1+Dashboard_2!$H$58)^Model_2!AF$54</f>
        <v>629.27027372453642</v>
      </c>
      <c r="AG72" s="145">
        <f>SUM(AG25)*(1+Dashboard_2!$H$58)^Model_2!AG$54</f>
        <v>645.00203056764997</v>
      </c>
      <c r="AH72" s="145">
        <f>SUM(AH25)*(1+Dashboard_2!$H$58)^Model_2!AH$54</f>
        <v>661.12708133184105</v>
      </c>
      <c r="AI72" s="145">
        <f>SUM(AI25)*(1+Dashboard_2!$H$58)^Model_2!AI$54</f>
        <v>677.65525836513712</v>
      </c>
      <c r="AJ72" s="145">
        <f>SUM(AJ25)*(1+Dashboard_2!$H$58)^Model_2!AJ$54</f>
        <v>694.59663982426548</v>
      </c>
      <c r="AK72" s="145">
        <f>SUM(AK25)*(1+Dashboard_2!$H$58)^Model_2!AK$54</f>
        <v>711.96155581987205</v>
      </c>
      <c r="AL72" s="145">
        <f>SUM(AL25)*(1+Dashboard_2!$H$58)^Model_2!AL$54</f>
        <v>729.76059471536894</v>
      </c>
      <c r="AM72" s="145">
        <f>SUM(AM25)*(1+Dashboard_2!$H$58)^Model_2!AM$54</f>
        <v>748.004609583253</v>
      </c>
      <c r="AN72" s="145">
        <f>SUM(AN25)*(1+Dashboard_2!$H$58)^Model_2!AN$54</f>
        <v>766.70472482283424</v>
      </c>
      <c r="AO72" s="145">
        <f>SUM(AO25)*(1+Dashboard_2!$H$58)^Model_2!AO$54</f>
        <v>785.8723429434051</v>
      </c>
      <c r="AP72" s="145">
        <f>SUM(AP25)*(1+Dashboard_2!$H$58)^Model_2!AP$54</f>
        <v>805.51915151699018</v>
      </c>
      <c r="AQ72" s="145">
        <f>SUM(AQ25)*(1+Dashboard_2!$H$58)^Model_2!AQ$54</f>
        <v>825.65713030491486</v>
      </c>
      <c r="AR72" s="145">
        <f>SUM(AR25)*(1+Dashboard_2!$H$58)^Model_2!AR$54</f>
        <v>846.29855856253778</v>
      </c>
      <c r="AS72" s="145">
        <f>SUM(AS25)*(1+Dashboard_2!$H$58)^Model_2!AS$54</f>
        <v>867.45602252660126</v>
      </c>
      <c r="AT72" s="145">
        <f>SUM(AT25)*(1+Dashboard_2!$H$58)^Model_2!AT$54</f>
        <v>889.142423089766</v>
      </c>
      <c r="AU72" s="145">
        <f>SUM(AU25)*(1+Dashboard_2!$H$58)^Model_2!AU$54</f>
        <v>911.37098366701025</v>
      </c>
      <c r="AV72" s="145">
        <f>SUM(AV25)*(1+Dashboard_2!$H$58)^Model_2!AV$54</f>
        <v>934.15525825868531</v>
      </c>
      <c r="AW72" s="145">
        <f>SUM(AW25)*(1+Dashboard_2!$H$58)^Model_2!AW$54</f>
        <v>957.50913971515263</v>
      </c>
      <c r="AX72" s="145">
        <f>SUM(AX25)*(1+Dashboard_2!$H$58)^Model_2!AX$54</f>
        <v>981.44686820803133</v>
      </c>
      <c r="AY72" s="145">
        <f>SUM(AY25)*(1+Dashboard_2!$H$58)^Model_2!AY$54</f>
        <v>1005.983039913232</v>
      </c>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28"/>
      <c r="BV72" s="228"/>
      <c r="BW72" s="228"/>
      <c r="BX72" s="228"/>
      <c r="BY72" s="228"/>
      <c r="BZ72" s="228"/>
      <c r="CA72" s="228"/>
      <c r="CB72" s="228"/>
      <c r="CC72" s="228"/>
      <c r="CD72" s="228"/>
      <c r="CE72" s="228"/>
      <c r="CF72" s="228"/>
      <c r="CG72" s="228"/>
      <c r="CH72" s="228"/>
      <c r="CI72" s="228"/>
      <c r="CJ72" s="228"/>
      <c r="CK72" s="228"/>
      <c r="CL72" s="228"/>
      <c r="CM72" s="228"/>
      <c r="CN72" s="228"/>
      <c r="CO72" s="228"/>
      <c r="CP72" s="228"/>
      <c r="CQ72" s="228"/>
      <c r="CR72" s="228"/>
      <c r="CS72" s="228"/>
      <c r="CT72" s="228"/>
    </row>
    <row r="73" spans="1:98" s="138" customFormat="1" x14ac:dyDescent="0.45">
      <c r="A73" s="41" t="str">
        <f>A26</f>
        <v>GIS mapping and inventory assessment ($)</v>
      </c>
      <c r="B73" s="145">
        <f>SUM(B26)*(1+Dashboard_2!$H$58)^Model_2!B$54</f>
        <v>240</v>
      </c>
      <c r="C73" s="145">
        <f>SUM(C26)*(1+Dashboard_2!$H$58)^Model_2!C$54</f>
        <v>0</v>
      </c>
      <c r="D73" s="145">
        <f>SUM(D26)*(1+Dashboard_2!$H$58)^Model_2!D$54</f>
        <v>0</v>
      </c>
      <c r="E73" s="145">
        <f>SUM(E26)*(1+Dashboard_2!$H$58)^Model_2!E$54</f>
        <v>0</v>
      </c>
      <c r="F73" s="145">
        <f>SUM(F26)*(1+Dashboard_2!$H$58)^Model_2!F$54</f>
        <v>0</v>
      </c>
      <c r="G73" s="145">
        <f>SUM(G26)*(1+Dashboard_2!$H$58)^Model_2!G$54</f>
        <v>0</v>
      </c>
      <c r="H73" s="145">
        <f>SUM(H26)*(1+Dashboard_2!$H$58)^Model_2!H$54</f>
        <v>0</v>
      </c>
      <c r="I73" s="145">
        <f>SUM(I26)*(1+Dashboard_2!$H$58)^Model_2!I$54</f>
        <v>0</v>
      </c>
      <c r="J73" s="145">
        <f>SUM(J26)*(1+Dashboard_2!$H$58)^Model_2!J$54</f>
        <v>0</v>
      </c>
      <c r="K73" s="145">
        <f>SUM(K26)*(1+Dashboard_2!$H$58)^Model_2!K$54</f>
        <v>0</v>
      </c>
      <c r="L73" s="145">
        <f>SUM(L26)*(1+Dashboard_2!$H$58)^Model_2!L$54</f>
        <v>0</v>
      </c>
      <c r="M73" s="145">
        <f>SUM(M26)*(1+Dashboard_2!$H$58)^Model_2!M$54</f>
        <v>0</v>
      </c>
      <c r="N73" s="145">
        <f>SUM(N26)*(1+Dashboard_2!$H$58)^Model_2!N$54</f>
        <v>0</v>
      </c>
      <c r="O73" s="145">
        <f>SUM(O26)*(1+Dashboard_2!$H$58)^Model_2!O$54</f>
        <v>0</v>
      </c>
      <c r="P73" s="145">
        <f>SUM(P26)*(1+Dashboard_2!$H$58)^Model_2!P$54</f>
        <v>0</v>
      </c>
      <c r="Q73" s="145">
        <f>SUM(Q26)*(1+Dashboard_2!$H$58)^Model_2!Q$54</f>
        <v>0</v>
      </c>
      <c r="R73" s="145">
        <f>SUM(R26)*(1+Dashboard_2!$H$58)^Model_2!R$54</f>
        <v>0</v>
      </c>
      <c r="S73" s="145">
        <f>SUM(S26)*(1+Dashboard_2!$H$58)^Model_2!S$54</f>
        <v>0</v>
      </c>
      <c r="T73" s="145">
        <f>SUM(T26)*(1+Dashboard_2!$H$58)^Model_2!T$54</f>
        <v>0</v>
      </c>
      <c r="U73" s="145">
        <f>SUM(U26)*(1+Dashboard_2!$H$58)^Model_2!U$54</f>
        <v>0</v>
      </c>
      <c r="V73" s="145">
        <f>SUM(V26)*(1+Dashboard_2!$H$58)^Model_2!V$54</f>
        <v>0</v>
      </c>
      <c r="W73" s="145">
        <f>SUM(W26)*(1+Dashboard_2!$H$58)^Model_2!W$54</f>
        <v>0</v>
      </c>
      <c r="X73" s="145">
        <f>SUM(X26)*(1+Dashboard_2!$H$58)^Model_2!X$54</f>
        <v>0</v>
      </c>
      <c r="Y73" s="145">
        <f>SUM(Y26)*(1+Dashboard_2!$H$58)^Model_2!Y$54</f>
        <v>0</v>
      </c>
      <c r="Z73" s="145">
        <f>SUM(Z26)*(1+Dashboard_2!$H$58)^Model_2!Z$54</f>
        <v>0</v>
      </c>
      <c r="AA73" s="145">
        <f>SUM(AA26)*(1+Dashboard_2!$H$58)^Model_2!AA$54</f>
        <v>0</v>
      </c>
      <c r="AB73" s="145">
        <f>SUM(AB26)*(1+Dashboard_2!$H$58)^Model_2!AB$54</f>
        <v>0</v>
      </c>
      <c r="AC73" s="145">
        <f>SUM(AC26)*(1+Dashboard_2!$H$58)^Model_2!AC$54</f>
        <v>0</v>
      </c>
      <c r="AD73" s="145">
        <f>SUM(AD26)*(1+Dashboard_2!$H$58)^Model_2!AD$54</f>
        <v>0</v>
      </c>
      <c r="AE73" s="145">
        <f>SUM(AE26)*(1+Dashboard_2!$H$58)^Model_2!AE$54</f>
        <v>0</v>
      </c>
      <c r="AF73" s="145">
        <f>SUM(AF26)*(1+Dashboard_2!$H$58)^Model_2!AF$54</f>
        <v>0</v>
      </c>
      <c r="AG73" s="145">
        <f>SUM(AG26)*(1+Dashboard_2!$H$58)^Model_2!AG$54</f>
        <v>0</v>
      </c>
      <c r="AH73" s="145">
        <f>SUM(AH26)*(1+Dashboard_2!$H$58)^Model_2!AH$54</f>
        <v>0</v>
      </c>
      <c r="AI73" s="145">
        <f>SUM(AI26)*(1+Dashboard_2!$H$58)^Model_2!AI$54</f>
        <v>0</v>
      </c>
      <c r="AJ73" s="145">
        <f>SUM(AJ26)*(1+Dashboard_2!$H$58)^Model_2!AJ$54</f>
        <v>0</v>
      </c>
      <c r="AK73" s="145">
        <f>SUM(AK26)*(1+Dashboard_2!$H$58)^Model_2!AK$54</f>
        <v>0</v>
      </c>
      <c r="AL73" s="145">
        <f>SUM(AL26)*(1+Dashboard_2!$H$58)^Model_2!AL$54</f>
        <v>0</v>
      </c>
      <c r="AM73" s="145">
        <f>SUM(AM26)*(1+Dashboard_2!$H$58)^Model_2!AM$54</f>
        <v>0</v>
      </c>
      <c r="AN73" s="145">
        <f>SUM(AN26)*(1+Dashboard_2!$H$58)^Model_2!AN$54</f>
        <v>0</v>
      </c>
      <c r="AO73" s="145">
        <f>SUM(AO26)*(1+Dashboard_2!$H$58)^Model_2!AO$54</f>
        <v>0</v>
      </c>
      <c r="AP73" s="145">
        <f>SUM(AP26)*(1+Dashboard_2!$H$58)^Model_2!AP$54</f>
        <v>0</v>
      </c>
      <c r="AQ73" s="145">
        <f>SUM(AQ26)*(1+Dashboard_2!$H$58)^Model_2!AQ$54</f>
        <v>0</v>
      </c>
      <c r="AR73" s="145">
        <f>SUM(AR26)*(1+Dashboard_2!$H$58)^Model_2!AR$54</f>
        <v>0</v>
      </c>
      <c r="AS73" s="145">
        <f>SUM(AS26)*(1+Dashboard_2!$H$58)^Model_2!AS$54</f>
        <v>0</v>
      </c>
      <c r="AT73" s="145">
        <f>SUM(AT26)*(1+Dashboard_2!$H$58)^Model_2!AT$54</f>
        <v>0</v>
      </c>
      <c r="AU73" s="145">
        <f>SUM(AU26)*(1+Dashboard_2!$H$58)^Model_2!AU$54</f>
        <v>0</v>
      </c>
      <c r="AV73" s="145">
        <f>SUM(AV26)*(1+Dashboard_2!$H$58)^Model_2!AV$54</f>
        <v>0</v>
      </c>
      <c r="AW73" s="145">
        <f>SUM(AW26)*(1+Dashboard_2!$H$58)^Model_2!AW$54</f>
        <v>0</v>
      </c>
      <c r="AX73" s="145">
        <f>SUM(AX26)*(1+Dashboard_2!$H$58)^Model_2!AX$54</f>
        <v>0</v>
      </c>
      <c r="AY73" s="145">
        <f>SUM(AY26)*(1+Dashboard_2!$H$58)^Model_2!AY$54</f>
        <v>0</v>
      </c>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8"/>
      <c r="BZ73" s="228"/>
      <c r="CA73" s="228"/>
      <c r="CB73" s="228"/>
      <c r="CC73" s="228"/>
      <c r="CD73" s="228"/>
      <c r="CE73" s="228"/>
      <c r="CF73" s="228"/>
      <c r="CG73" s="228"/>
      <c r="CH73" s="228"/>
      <c r="CI73" s="228"/>
      <c r="CJ73" s="228"/>
      <c r="CK73" s="228"/>
      <c r="CL73" s="228"/>
      <c r="CM73" s="228"/>
      <c r="CN73" s="228"/>
      <c r="CO73" s="228"/>
      <c r="CP73" s="228"/>
      <c r="CQ73" s="228"/>
      <c r="CR73" s="228"/>
      <c r="CS73" s="228"/>
      <c r="CT73" s="228"/>
    </row>
    <row r="74" spans="1:98" s="138" customFormat="1" x14ac:dyDescent="0.45">
      <c r="A74" s="41" t="str">
        <f t="shared" ref="A74:A78" si="18">A29</f>
        <v>User specified cost item 1 ($/tree in Year 1 only)</v>
      </c>
      <c r="B74" s="227">
        <f>SUM(B29)*(1+Dashboard_2!$H$58)^Model_2!B$54</f>
        <v>0</v>
      </c>
      <c r="C74" s="227">
        <f>SUM(C29)*(1+Dashboard_2!$H$58)^Model_2!C$54</f>
        <v>0</v>
      </c>
      <c r="D74" s="227">
        <f>SUM(D29)*(1+Dashboard_2!$H$58)^Model_2!D$54</f>
        <v>0</v>
      </c>
      <c r="E74" s="227">
        <f>SUM(E29)*(1+Dashboard_2!$H$58)^Model_2!E$54</f>
        <v>0</v>
      </c>
      <c r="F74" s="227">
        <f>SUM(F29)*(1+Dashboard_2!$H$58)^Model_2!F$54</f>
        <v>0</v>
      </c>
      <c r="G74" s="227">
        <f>SUM(G29)*(1+Dashboard_2!$H$58)^Model_2!G$54</f>
        <v>0</v>
      </c>
      <c r="H74" s="227">
        <f>SUM(H29)*(1+Dashboard_2!$H$58)^Model_2!H$54</f>
        <v>0</v>
      </c>
      <c r="I74" s="227">
        <f>SUM(I29)*(1+Dashboard_2!$H$58)^Model_2!I$54</f>
        <v>0</v>
      </c>
      <c r="J74" s="227">
        <f>SUM(J29)*(1+Dashboard_2!$H$58)^Model_2!J$54</f>
        <v>0</v>
      </c>
      <c r="K74" s="227">
        <f>SUM(K29)*(1+Dashboard_2!$H$58)^Model_2!K$54</f>
        <v>0</v>
      </c>
      <c r="L74" s="227">
        <f>SUM(L29)*(1+Dashboard_2!$H$58)^Model_2!L$54</f>
        <v>0</v>
      </c>
      <c r="M74" s="227">
        <f>SUM(M29)*(1+Dashboard_2!$H$58)^Model_2!M$54</f>
        <v>0</v>
      </c>
      <c r="N74" s="227">
        <f>SUM(N29)*(1+Dashboard_2!$H$58)^Model_2!N$54</f>
        <v>0</v>
      </c>
      <c r="O74" s="227">
        <f>SUM(O29)*(1+Dashboard_2!$H$58)^Model_2!O$54</f>
        <v>0</v>
      </c>
      <c r="P74" s="227">
        <f>SUM(P29)*(1+Dashboard_2!$H$58)^Model_2!P$54</f>
        <v>0</v>
      </c>
      <c r="Q74" s="227">
        <f>SUM(Q29)*(1+Dashboard_2!$H$58)^Model_2!Q$54</f>
        <v>0</v>
      </c>
      <c r="R74" s="227">
        <f>SUM(R29)*(1+Dashboard_2!$H$58)^Model_2!R$54</f>
        <v>0</v>
      </c>
      <c r="S74" s="227">
        <f>SUM(S29)*(1+Dashboard_2!$H$58)^Model_2!S$54</f>
        <v>0</v>
      </c>
      <c r="T74" s="227">
        <f>SUM(T29)*(1+Dashboard_2!$H$58)^Model_2!T$54</f>
        <v>0</v>
      </c>
      <c r="U74" s="227">
        <f>SUM(U29)*(1+Dashboard_2!$H$58)^Model_2!U$54</f>
        <v>0</v>
      </c>
      <c r="V74" s="227">
        <f>SUM(V29)*(1+Dashboard_2!$H$58)^Model_2!V$54</f>
        <v>0</v>
      </c>
      <c r="W74" s="227">
        <f>SUM(W29)*(1+Dashboard_2!$H$58)^Model_2!W$54</f>
        <v>0</v>
      </c>
      <c r="X74" s="227">
        <f>SUM(X29)*(1+Dashboard_2!$H$58)^Model_2!X$54</f>
        <v>0</v>
      </c>
      <c r="Y74" s="227">
        <f>SUM(Y29)*(1+Dashboard_2!$H$58)^Model_2!Y$54</f>
        <v>0</v>
      </c>
      <c r="Z74" s="227">
        <f>SUM(Z29)*(1+Dashboard_2!$H$58)^Model_2!Z$54</f>
        <v>0</v>
      </c>
      <c r="AA74" s="227">
        <f>SUM(AA29)*(1+Dashboard_2!$H$58)^Model_2!AA$54</f>
        <v>0</v>
      </c>
      <c r="AB74" s="227">
        <f>SUM(AB29)*(1+Dashboard_2!$H$58)^Model_2!AB$54</f>
        <v>0</v>
      </c>
      <c r="AC74" s="227">
        <f>SUM(AC29)*(1+Dashboard_2!$H$58)^Model_2!AC$54</f>
        <v>0</v>
      </c>
      <c r="AD74" s="227">
        <f>SUM(AD29)*(1+Dashboard_2!$H$58)^Model_2!AD$54</f>
        <v>0</v>
      </c>
      <c r="AE74" s="227">
        <f>SUM(AE29)*(1+Dashboard_2!$H$58)^Model_2!AE$54</f>
        <v>0</v>
      </c>
      <c r="AF74" s="227">
        <f>SUM(AF29)*(1+Dashboard_2!$H$58)^Model_2!AF$54</f>
        <v>0</v>
      </c>
      <c r="AG74" s="227">
        <f>SUM(AG29)*(1+Dashboard_2!$H$58)^Model_2!AG$54</f>
        <v>0</v>
      </c>
      <c r="AH74" s="227">
        <f>SUM(AH29)*(1+Dashboard_2!$H$58)^Model_2!AH$54</f>
        <v>0</v>
      </c>
      <c r="AI74" s="227">
        <f>SUM(AI29)*(1+Dashboard_2!$H$58)^Model_2!AI$54</f>
        <v>0</v>
      </c>
      <c r="AJ74" s="227">
        <f>SUM(AJ29)*(1+Dashboard_2!$H$58)^Model_2!AJ$54</f>
        <v>0</v>
      </c>
      <c r="AK74" s="227">
        <f>SUM(AK29)*(1+Dashboard_2!$H$58)^Model_2!AK$54</f>
        <v>0</v>
      </c>
      <c r="AL74" s="227">
        <f>SUM(AL29)*(1+Dashboard_2!$H$58)^Model_2!AL$54</f>
        <v>0</v>
      </c>
      <c r="AM74" s="227">
        <f>SUM(AM29)*(1+Dashboard_2!$H$58)^Model_2!AM$54</f>
        <v>0</v>
      </c>
      <c r="AN74" s="227">
        <f>SUM(AN29)*(1+Dashboard_2!$H$58)^Model_2!AN$54</f>
        <v>0</v>
      </c>
      <c r="AO74" s="227">
        <f>SUM(AO29)*(1+Dashboard_2!$H$58)^Model_2!AO$54</f>
        <v>0</v>
      </c>
      <c r="AP74" s="227">
        <f>SUM(AP29)*(1+Dashboard_2!$H$58)^Model_2!AP$54</f>
        <v>0</v>
      </c>
      <c r="AQ74" s="227">
        <f>SUM(AQ29)*(1+Dashboard_2!$H$58)^Model_2!AQ$54</f>
        <v>0</v>
      </c>
      <c r="AR74" s="227">
        <f>SUM(AR29)*(1+Dashboard_2!$H$58)^Model_2!AR$54</f>
        <v>0</v>
      </c>
      <c r="AS74" s="227">
        <f>SUM(AS29)*(1+Dashboard_2!$H$58)^Model_2!AS$54</f>
        <v>0</v>
      </c>
      <c r="AT74" s="227">
        <f>SUM(AT29)*(1+Dashboard_2!$H$58)^Model_2!AT$54</f>
        <v>0</v>
      </c>
      <c r="AU74" s="227">
        <f>SUM(AU29)*(1+Dashboard_2!$H$58)^Model_2!AU$54</f>
        <v>0</v>
      </c>
      <c r="AV74" s="227">
        <f>SUM(AV29)*(1+Dashboard_2!$H$58)^Model_2!AV$54</f>
        <v>0</v>
      </c>
      <c r="AW74" s="227">
        <f>SUM(AW29)*(1+Dashboard_2!$H$58)^Model_2!AW$54</f>
        <v>0</v>
      </c>
      <c r="AX74" s="227">
        <f>SUM(AX29)*(1+Dashboard_2!$H$58)^Model_2!AX$54</f>
        <v>0</v>
      </c>
      <c r="AY74" s="227">
        <f>SUM(AY29)*(1+Dashboard_2!$H$58)^Model_2!AY$54</f>
        <v>0</v>
      </c>
      <c r="AZ74" s="228"/>
      <c r="BA74" s="228"/>
      <c r="BB74" s="228"/>
      <c r="BC74" s="228"/>
      <c r="BD74" s="228"/>
      <c r="BE74" s="228"/>
      <c r="BF74" s="228"/>
      <c r="BG74" s="228"/>
      <c r="BH74" s="228"/>
      <c r="BI74" s="228"/>
      <c r="BJ74" s="228"/>
      <c r="BK74" s="228"/>
      <c r="BL74" s="228"/>
      <c r="BM74" s="228"/>
      <c r="BN74" s="228"/>
      <c r="BO74" s="228"/>
      <c r="BP74" s="228"/>
      <c r="BQ74" s="228"/>
      <c r="BR74" s="228"/>
      <c r="BS74" s="228"/>
      <c r="BT74" s="228"/>
      <c r="BU74" s="228"/>
      <c r="BV74" s="228"/>
      <c r="BW74" s="228"/>
      <c r="BX74" s="228"/>
      <c r="BY74" s="228"/>
      <c r="BZ74" s="228"/>
      <c r="CA74" s="228"/>
      <c r="CB74" s="228"/>
      <c r="CC74" s="228"/>
      <c r="CD74" s="228"/>
      <c r="CE74" s="228"/>
      <c r="CF74" s="228"/>
      <c r="CG74" s="228"/>
      <c r="CH74" s="228"/>
      <c r="CI74" s="228"/>
      <c r="CJ74" s="228"/>
      <c r="CK74" s="228"/>
      <c r="CL74" s="228"/>
      <c r="CM74" s="228"/>
      <c r="CN74" s="228"/>
      <c r="CO74" s="228"/>
      <c r="CP74" s="228"/>
      <c r="CQ74" s="228"/>
      <c r="CR74" s="228"/>
      <c r="CS74" s="228"/>
      <c r="CT74" s="228"/>
    </row>
    <row r="75" spans="1:98" s="138" customFormat="1" x14ac:dyDescent="0.45">
      <c r="A75" s="41" t="str">
        <f t="shared" si="18"/>
        <v>User specified cost item 2 ($/tree per annum up to year 2)</v>
      </c>
      <c r="B75" s="227">
        <f>SUM(B30)*(1+Dashboard_2!$H$58)^Model_2!B$54</f>
        <v>0</v>
      </c>
      <c r="C75" s="227">
        <f>SUM(C30)*(1+Dashboard_2!$H$58)^Model_2!C$54</f>
        <v>0</v>
      </c>
      <c r="D75" s="227">
        <f>SUM(D30)*(1+Dashboard_2!$H$58)^Model_2!D$54</f>
        <v>0</v>
      </c>
      <c r="E75" s="227">
        <f>SUM(E30)*(1+Dashboard_2!$H$58)^Model_2!E$54</f>
        <v>0</v>
      </c>
      <c r="F75" s="227">
        <f>SUM(F30)*(1+Dashboard_2!$H$58)^Model_2!F$54</f>
        <v>0</v>
      </c>
      <c r="G75" s="227">
        <f>SUM(G30)*(1+Dashboard_2!$H$58)^Model_2!G$54</f>
        <v>0</v>
      </c>
      <c r="H75" s="227">
        <f>SUM(H30)*(1+Dashboard_2!$H$58)^Model_2!H$54</f>
        <v>0</v>
      </c>
      <c r="I75" s="227">
        <f>SUM(I30)*(1+Dashboard_2!$H$58)^Model_2!I$54</f>
        <v>0</v>
      </c>
      <c r="J75" s="227">
        <f>SUM(J30)*(1+Dashboard_2!$H$58)^Model_2!J$54</f>
        <v>0</v>
      </c>
      <c r="K75" s="227">
        <f>SUM(K30)*(1+Dashboard_2!$H$58)^Model_2!K$54</f>
        <v>0</v>
      </c>
      <c r="L75" s="227">
        <f>SUM(L30)*(1+Dashboard_2!$H$58)^Model_2!L$54</f>
        <v>0</v>
      </c>
      <c r="M75" s="227">
        <f>SUM(M30)*(1+Dashboard_2!$H$58)^Model_2!M$54</f>
        <v>0</v>
      </c>
      <c r="N75" s="227">
        <f>SUM(N30)*(1+Dashboard_2!$H$58)^Model_2!N$54</f>
        <v>0</v>
      </c>
      <c r="O75" s="227">
        <f>SUM(O30)*(1+Dashboard_2!$H$58)^Model_2!O$54</f>
        <v>0</v>
      </c>
      <c r="P75" s="227">
        <f>SUM(P30)*(1+Dashboard_2!$H$58)^Model_2!P$54</f>
        <v>0</v>
      </c>
      <c r="Q75" s="227">
        <f>SUM(Q30)*(1+Dashboard_2!$H$58)^Model_2!Q$54</f>
        <v>0</v>
      </c>
      <c r="R75" s="227">
        <f>SUM(R30)*(1+Dashboard_2!$H$58)^Model_2!R$54</f>
        <v>0</v>
      </c>
      <c r="S75" s="227">
        <f>SUM(S30)*(1+Dashboard_2!$H$58)^Model_2!S$54</f>
        <v>0</v>
      </c>
      <c r="T75" s="227">
        <f>SUM(T30)*(1+Dashboard_2!$H$58)^Model_2!T$54</f>
        <v>0</v>
      </c>
      <c r="U75" s="227">
        <f>SUM(U30)*(1+Dashboard_2!$H$58)^Model_2!U$54</f>
        <v>0</v>
      </c>
      <c r="V75" s="227">
        <f>SUM(V30)*(1+Dashboard_2!$H$58)^Model_2!V$54</f>
        <v>0</v>
      </c>
      <c r="W75" s="227">
        <f>SUM(W30)*(1+Dashboard_2!$H$58)^Model_2!W$54</f>
        <v>0</v>
      </c>
      <c r="X75" s="227">
        <f>SUM(X30)*(1+Dashboard_2!$H$58)^Model_2!X$54</f>
        <v>0</v>
      </c>
      <c r="Y75" s="227">
        <f>SUM(Y30)*(1+Dashboard_2!$H$58)^Model_2!Y$54</f>
        <v>0</v>
      </c>
      <c r="Z75" s="227">
        <f>SUM(Z30)*(1+Dashboard_2!$H$58)^Model_2!Z$54</f>
        <v>0</v>
      </c>
      <c r="AA75" s="227">
        <f>SUM(AA30)*(1+Dashboard_2!$H$58)^Model_2!AA$54</f>
        <v>0</v>
      </c>
      <c r="AB75" s="227">
        <f>SUM(AB30)*(1+Dashboard_2!$H$58)^Model_2!AB$54</f>
        <v>0</v>
      </c>
      <c r="AC75" s="227">
        <f>SUM(AC30)*(1+Dashboard_2!$H$58)^Model_2!AC$54</f>
        <v>0</v>
      </c>
      <c r="AD75" s="227">
        <f>SUM(AD30)*(1+Dashboard_2!$H$58)^Model_2!AD$54</f>
        <v>0</v>
      </c>
      <c r="AE75" s="227">
        <f>SUM(AE30)*(1+Dashboard_2!$H$58)^Model_2!AE$54</f>
        <v>0</v>
      </c>
      <c r="AF75" s="227">
        <f>SUM(AF30)*(1+Dashboard_2!$H$58)^Model_2!AF$54</f>
        <v>0</v>
      </c>
      <c r="AG75" s="227">
        <f>SUM(AG30)*(1+Dashboard_2!$H$58)^Model_2!AG$54</f>
        <v>0</v>
      </c>
      <c r="AH75" s="227">
        <f>SUM(AH30)*(1+Dashboard_2!$H$58)^Model_2!AH$54</f>
        <v>0</v>
      </c>
      <c r="AI75" s="227">
        <f>SUM(AI30)*(1+Dashboard_2!$H$58)^Model_2!AI$54</f>
        <v>0</v>
      </c>
      <c r="AJ75" s="227">
        <f>SUM(AJ30)*(1+Dashboard_2!$H$58)^Model_2!AJ$54</f>
        <v>0</v>
      </c>
      <c r="AK75" s="227">
        <f>SUM(AK30)*(1+Dashboard_2!$H$58)^Model_2!AK$54</f>
        <v>0</v>
      </c>
      <c r="AL75" s="227">
        <f>SUM(AL30)*(1+Dashboard_2!$H$58)^Model_2!AL$54</f>
        <v>0</v>
      </c>
      <c r="AM75" s="227">
        <f>SUM(AM30)*(1+Dashboard_2!$H$58)^Model_2!AM$54</f>
        <v>0</v>
      </c>
      <c r="AN75" s="227">
        <f>SUM(AN30)*(1+Dashboard_2!$H$58)^Model_2!AN$54</f>
        <v>0</v>
      </c>
      <c r="AO75" s="227">
        <f>SUM(AO30)*(1+Dashboard_2!$H$58)^Model_2!AO$54</f>
        <v>0</v>
      </c>
      <c r="AP75" s="227">
        <f>SUM(AP30)*(1+Dashboard_2!$H$58)^Model_2!AP$54</f>
        <v>0</v>
      </c>
      <c r="AQ75" s="227">
        <f>SUM(AQ30)*(1+Dashboard_2!$H$58)^Model_2!AQ$54</f>
        <v>0</v>
      </c>
      <c r="AR75" s="227">
        <f>SUM(AR30)*(1+Dashboard_2!$H$58)^Model_2!AR$54</f>
        <v>0</v>
      </c>
      <c r="AS75" s="227">
        <f>SUM(AS30)*(1+Dashboard_2!$H$58)^Model_2!AS$54</f>
        <v>0</v>
      </c>
      <c r="AT75" s="227">
        <f>SUM(AT30)*(1+Dashboard_2!$H$58)^Model_2!AT$54</f>
        <v>0</v>
      </c>
      <c r="AU75" s="227">
        <f>SUM(AU30)*(1+Dashboard_2!$H$58)^Model_2!AU$54</f>
        <v>0</v>
      </c>
      <c r="AV75" s="227">
        <f>SUM(AV30)*(1+Dashboard_2!$H$58)^Model_2!AV$54</f>
        <v>0</v>
      </c>
      <c r="AW75" s="227">
        <f>SUM(AW30)*(1+Dashboard_2!$H$58)^Model_2!AW$54</f>
        <v>0</v>
      </c>
      <c r="AX75" s="227">
        <f>SUM(AX30)*(1+Dashboard_2!$H$58)^Model_2!AX$54</f>
        <v>0</v>
      </c>
      <c r="AY75" s="227">
        <f>SUM(AY30)*(1+Dashboard_2!$H$58)^Model_2!AY$54</f>
        <v>0</v>
      </c>
      <c r="AZ75" s="228"/>
      <c r="BA75" s="228"/>
      <c r="BB75" s="228"/>
      <c r="BC75" s="228"/>
      <c r="BD75" s="228"/>
      <c r="BE75" s="228"/>
      <c r="BF75" s="228"/>
      <c r="BG75" s="228"/>
      <c r="BH75" s="228"/>
      <c r="BI75" s="228"/>
      <c r="BJ75" s="228"/>
      <c r="BK75" s="228"/>
      <c r="BL75" s="228"/>
      <c r="BM75" s="228"/>
      <c r="BN75" s="228"/>
      <c r="BO75" s="228"/>
      <c r="BP75" s="228"/>
      <c r="BQ75" s="228"/>
      <c r="BR75" s="228"/>
      <c r="BS75" s="228"/>
      <c r="BT75" s="228"/>
      <c r="BU75" s="228"/>
      <c r="BV75" s="228"/>
      <c r="BW75" s="228"/>
      <c r="BX75" s="228"/>
      <c r="BY75" s="228"/>
      <c r="BZ75" s="228"/>
      <c r="CA75" s="228"/>
      <c r="CB75" s="228"/>
      <c r="CC75" s="228"/>
      <c r="CD75" s="228"/>
      <c r="CE75" s="228"/>
      <c r="CF75" s="228"/>
      <c r="CG75" s="228"/>
      <c r="CH75" s="228"/>
      <c r="CI75" s="228"/>
      <c r="CJ75" s="228"/>
      <c r="CK75" s="228"/>
      <c r="CL75" s="228"/>
      <c r="CM75" s="228"/>
      <c r="CN75" s="228"/>
      <c r="CO75" s="228"/>
      <c r="CP75" s="228"/>
      <c r="CQ75" s="228"/>
      <c r="CR75" s="228"/>
      <c r="CS75" s="228"/>
      <c r="CT75" s="228"/>
    </row>
    <row r="76" spans="1:98" s="138" customFormat="1" x14ac:dyDescent="0.45">
      <c r="A76" s="41" t="str">
        <f t="shared" si="18"/>
        <v>User specified cost item 3 ($/tree per annum)</v>
      </c>
      <c r="B76" s="227">
        <f>SUM(B31)*(1+Dashboard_2!$H$58)^Model_2!B$54</f>
        <v>0</v>
      </c>
      <c r="C76" s="227">
        <f>SUM(C31)*(1+Dashboard_2!$H$58)^Model_2!C$54</f>
        <v>0</v>
      </c>
      <c r="D76" s="227">
        <f>SUM(D31)*(1+Dashboard_2!$H$58)^Model_2!D$54</f>
        <v>0</v>
      </c>
      <c r="E76" s="227">
        <f>SUM(E31)*(1+Dashboard_2!$H$58)^Model_2!E$54</f>
        <v>0</v>
      </c>
      <c r="F76" s="227">
        <f>SUM(F31)*(1+Dashboard_2!$H$58)^Model_2!F$54</f>
        <v>0</v>
      </c>
      <c r="G76" s="227">
        <f>SUM(G31)*(1+Dashboard_2!$H$58)^Model_2!G$54</f>
        <v>0</v>
      </c>
      <c r="H76" s="227">
        <f>SUM(H31)*(1+Dashboard_2!$H$58)^Model_2!H$54</f>
        <v>0</v>
      </c>
      <c r="I76" s="227">
        <f>SUM(I31)*(1+Dashboard_2!$H$58)^Model_2!I$54</f>
        <v>0</v>
      </c>
      <c r="J76" s="227">
        <f>SUM(J31)*(1+Dashboard_2!$H$58)^Model_2!J$54</f>
        <v>0</v>
      </c>
      <c r="K76" s="227">
        <f>SUM(K31)*(1+Dashboard_2!$H$58)^Model_2!K$54</f>
        <v>0</v>
      </c>
      <c r="L76" s="227">
        <f>SUM(L31)*(1+Dashboard_2!$H$58)^Model_2!L$54</f>
        <v>0</v>
      </c>
      <c r="M76" s="227">
        <f>SUM(M31)*(1+Dashboard_2!$H$58)^Model_2!M$54</f>
        <v>0</v>
      </c>
      <c r="N76" s="227">
        <f>SUM(N31)*(1+Dashboard_2!$H$58)^Model_2!N$54</f>
        <v>0</v>
      </c>
      <c r="O76" s="227">
        <f>SUM(O31)*(1+Dashboard_2!$H$58)^Model_2!O$54</f>
        <v>0</v>
      </c>
      <c r="P76" s="227">
        <f>SUM(P31)*(1+Dashboard_2!$H$58)^Model_2!P$54</f>
        <v>0</v>
      </c>
      <c r="Q76" s="227">
        <f>SUM(Q31)*(1+Dashboard_2!$H$58)^Model_2!Q$54</f>
        <v>0</v>
      </c>
      <c r="R76" s="227">
        <f>SUM(R31)*(1+Dashboard_2!$H$58)^Model_2!R$54</f>
        <v>0</v>
      </c>
      <c r="S76" s="227">
        <f>SUM(S31)*(1+Dashboard_2!$H$58)^Model_2!S$54</f>
        <v>0</v>
      </c>
      <c r="T76" s="227">
        <f>SUM(T31)*(1+Dashboard_2!$H$58)^Model_2!T$54</f>
        <v>0</v>
      </c>
      <c r="U76" s="227">
        <f>SUM(U31)*(1+Dashboard_2!$H$58)^Model_2!U$54</f>
        <v>0</v>
      </c>
      <c r="V76" s="227">
        <f>SUM(V31)*(1+Dashboard_2!$H$58)^Model_2!V$54</f>
        <v>0</v>
      </c>
      <c r="W76" s="227">
        <f>SUM(W31)*(1+Dashboard_2!$H$58)^Model_2!W$54</f>
        <v>0</v>
      </c>
      <c r="X76" s="227">
        <f>SUM(X31)*(1+Dashboard_2!$H$58)^Model_2!X$54</f>
        <v>0</v>
      </c>
      <c r="Y76" s="227">
        <f>SUM(Y31)*(1+Dashboard_2!$H$58)^Model_2!Y$54</f>
        <v>0</v>
      </c>
      <c r="Z76" s="227">
        <f>SUM(Z31)*(1+Dashboard_2!$H$58)^Model_2!Z$54</f>
        <v>0</v>
      </c>
      <c r="AA76" s="227">
        <f>SUM(AA31)*(1+Dashboard_2!$H$58)^Model_2!AA$54</f>
        <v>0</v>
      </c>
      <c r="AB76" s="227">
        <f>SUM(AB31)*(1+Dashboard_2!$H$58)^Model_2!AB$54</f>
        <v>0</v>
      </c>
      <c r="AC76" s="227">
        <f>SUM(AC31)*(1+Dashboard_2!$H$58)^Model_2!AC$54</f>
        <v>0</v>
      </c>
      <c r="AD76" s="227">
        <f>SUM(AD31)*(1+Dashboard_2!$H$58)^Model_2!AD$54</f>
        <v>0</v>
      </c>
      <c r="AE76" s="227">
        <f>SUM(AE31)*(1+Dashboard_2!$H$58)^Model_2!AE$54</f>
        <v>0</v>
      </c>
      <c r="AF76" s="227">
        <f>SUM(AF31)*(1+Dashboard_2!$H$58)^Model_2!AF$54</f>
        <v>0</v>
      </c>
      <c r="AG76" s="227">
        <f>SUM(AG31)*(1+Dashboard_2!$H$58)^Model_2!AG$54</f>
        <v>0</v>
      </c>
      <c r="AH76" s="227">
        <f>SUM(AH31)*(1+Dashboard_2!$H$58)^Model_2!AH$54</f>
        <v>0</v>
      </c>
      <c r="AI76" s="227">
        <f>SUM(AI31)*(1+Dashboard_2!$H$58)^Model_2!AI$54</f>
        <v>0</v>
      </c>
      <c r="AJ76" s="227">
        <f>SUM(AJ31)*(1+Dashboard_2!$H$58)^Model_2!AJ$54</f>
        <v>0</v>
      </c>
      <c r="AK76" s="227">
        <f>SUM(AK31)*(1+Dashboard_2!$H$58)^Model_2!AK$54</f>
        <v>0</v>
      </c>
      <c r="AL76" s="227">
        <f>SUM(AL31)*(1+Dashboard_2!$H$58)^Model_2!AL$54</f>
        <v>0</v>
      </c>
      <c r="AM76" s="227">
        <f>SUM(AM31)*(1+Dashboard_2!$H$58)^Model_2!AM$54</f>
        <v>0</v>
      </c>
      <c r="AN76" s="227">
        <f>SUM(AN31)*(1+Dashboard_2!$H$58)^Model_2!AN$54</f>
        <v>0</v>
      </c>
      <c r="AO76" s="227">
        <f>SUM(AO31)*(1+Dashboard_2!$H$58)^Model_2!AO$54</f>
        <v>0</v>
      </c>
      <c r="AP76" s="227">
        <f>SUM(AP31)*(1+Dashboard_2!$H$58)^Model_2!AP$54</f>
        <v>0</v>
      </c>
      <c r="AQ76" s="227">
        <f>SUM(AQ31)*(1+Dashboard_2!$H$58)^Model_2!AQ$54</f>
        <v>0</v>
      </c>
      <c r="AR76" s="227">
        <f>SUM(AR31)*(1+Dashboard_2!$H$58)^Model_2!AR$54</f>
        <v>0</v>
      </c>
      <c r="AS76" s="227">
        <f>SUM(AS31)*(1+Dashboard_2!$H$58)^Model_2!AS$54</f>
        <v>0</v>
      </c>
      <c r="AT76" s="227">
        <f>SUM(AT31)*(1+Dashboard_2!$H$58)^Model_2!AT$54</f>
        <v>0</v>
      </c>
      <c r="AU76" s="227">
        <f>SUM(AU31)*(1+Dashboard_2!$H$58)^Model_2!AU$54</f>
        <v>0</v>
      </c>
      <c r="AV76" s="227">
        <f>SUM(AV31)*(1+Dashboard_2!$H$58)^Model_2!AV$54</f>
        <v>0</v>
      </c>
      <c r="AW76" s="227">
        <f>SUM(AW31)*(1+Dashboard_2!$H$58)^Model_2!AW$54</f>
        <v>0</v>
      </c>
      <c r="AX76" s="227">
        <f>SUM(AX31)*(1+Dashboard_2!$H$58)^Model_2!AX$54</f>
        <v>0</v>
      </c>
      <c r="AY76" s="227">
        <f>SUM(AY31)*(1+Dashboard_2!$H$58)^Model_2!AY$54</f>
        <v>0</v>
      </c>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8"/>
      <c r="CP76" s="228"/>
      <c r="CQ76" s="228"/>
      <c r="CR76" s="228"/>
      <c r="CS76" s="228"/>
      <c r="CT76" s="228"/>
    </row>
    <row r="77" spans="1:98" s="138" customFormat="1" x14ac:dyDescent="0.45">
      <c r="A77" s="41" t="str">
        <f t="shared" si="18"/>
        <v>User specified cost item 4 ($/tree per annum)</v>
      </c>
      <c r="B77" s="227">
        <f>SUM(B32)*(1+Dashboard_2!$H$58)^Model_2!B$54</f>
        <v>0</v>
      </c>
      <c r="C77" s="227">
        <f>SUM(C32)*(1+Dashboard_2!$H$58)^Model_2!C$54</f>
        <v>0</v>
      </c>
      <c r="D77" s="227">
        <f>SUM(D32)*(1+Dashboard_2!$H$58)^Model_2!D$54</f>
        <v>0</v>
      </c>
      <c r="E77" s="227">
        <f>SUM(E32)*(1+Dashboard_2!$H$58)^Model_2!E$54</f>
        <v>0</v>
      </c>
      <c r="F77" s="227">
        <f>SUM(F32)*(1+Dashboard_2!$H$58)^Model_2!F$54</f>
        <v>0</v>
      </c>
      <c r="G77" s="227">
        <f>SUM(G32)*(1+Dashboard_2!$H$58)^Model_2!G$54</f>
        <v>0</v>
      </c>
      <c r="H77" s="227">
        <f>SUM(H32)*(1+Dashboard_2!$H$58)^Model_2!H$54</f>
        <v>0</v>
      </c>
      <c r="I77" s="227">
        <f>SUM(I32)*(1+Dashboard_2!$H$58)^Model_2!I$54</f>
        <v>0</v>
      </c>
      <c r="J77" s="227">
        <f>SUM(J32)*(1+Dashboard_2!$H$58)^Model_2!J$54</f>
        <v>0</v>
      </c>
      <c r="K77" s="227">
        <f>SUM(K32)*(1+Dashboard_2!$H$58)^Model_2!K$54</f>
        <v>0</v>
      </c>
      <c r="L77" s="227">
        <f>SUM(L32)*(1+Dashboard_2!$H$58)^Model_2!L$54</f>
        <v>0</v>
      </c>
      <c r="M77" s="227">
        <f>SUM(M32)*(1+Dashboard_2!$H$58)^Model_2!M$54</f>
        <v>0</v>
      </c>
      <c r="N77" s="227">
        <f>SUM(N32)*(1+Dashboard_2!$H$58)^Model_2!N$54</f>
        <v>0</v>
      </c>
      <c r="O77" s="227">
        <f>SUM(O32)*(1+Dashboard_2!$H$58)^Model_2!O$54</f>
        <v>0</v>
      </c>
      <c r="P77" s="227">
        <f>SUM(P32)*(1+Dashboard_2!$H$58)^Model_2!P$54</f>
        <v>0</v>
      </c>
      <c r="Q77" s="227">
        <f>SUM(Q32)*(1+Dashboard_2!$H$58)^Model_2!Q$54</f>
        <v>0</v>
      </c>
      <c r="R77" s="227">
        <f>SUM(R32)*(1+Dashboard_2!$H$58)^Model_2!R$54</f>
        <v>0</v>
      </c>
      <c r="S77" s="227">
        <f>SUM(S32)*(1+Dashboard_2!$H$58)^Model_2!S$54</f>
        <v>0</v>
      </c>
      <c r="T77" s="227">
        <f>SUM(T32)*(1+Dashboard_2!$H$58)^Model_2!T$54</f>
        <v>0</v>
      </c>
      <c r="U77" s="227">
        <f>SUM(U32)*(1+Dashboard_2!$H$58)^Model_2!U$54</f>
        <v>0</v>
      </c>
      <c r="V77" s="227">
        <f>SUM(V32)*(1+Dashboard_2!$H$58)^Model_2!V$54</f>
        <v>0</v>
      </c>
      <c r="W77" s="227">
        <f>SUM(W32)*(1+Dashboard_2!$H$58)^Model_2!W$54</f>
        <v>0</v>
      </c>
      <c r="X77" s="227">
        <f>SUM(X32)*(1+Dashboard_2!$H$58)^Model_2!X$54</f>
        <v>0</v>
      </c>
      <c r="Y77" s="227">
        <f>SUM(Y32)*(1+Dashboard_2!$H$58)^Model_2!Y$54</f>
        <v>0</v>
      </c>
      <c r="Z77" s="227">
        <f>SUM(Z32)*(1+Dashboard_2!$H$58)^Model_2!Z$54</f>
        <v>0</v>
      </c>
      <c r="AA77" s="227">
        <f>SUM(AA32)*(1+Dashboard_2!$H$58)^Model_2!AA$54</f>
        <v>0</v>
      </c>
      <c r="AB77" s="227">
        <f>SUM(AB32)*(1+Dashboard_2!$H$58)^Model_2!AB$54</f>
        <v>0</v>
      </c>
      <c r="AC77" s="227">
        <f>SUM(AC32)*(1+Dashboard_2!$H$58)^Model_2!AC$54</f>
        <v>0</v>
      </c>
      <c r="AD77" s="227">
        <f>SUM(AD32)*(1+Dashboard_2!$H$58)^Model_2!AD$54</f>
        <v>0</v>
      </c>
      <c r="AE77" s="227">
        <f>SUM(AE32)*(1+Dashboard_2!$H$58)^Model_2!AE$54</f>
        <v>0</v>
      </c>
      <c r="AF77" s="227">
        <f>SUM(AF32)*(1+Dashboard_2!$H$58)^Model_2!AF$54</f>
        <v>0</v>
      </c>
      <c r="AG77" s="227">
        <f>SUM(AG32)*(1+Dashboard_2!$H$58)^Model_2!AG$54</f>
        <v>0</v>
      </c>
      <c r="AH77" s="227">
        <f>SUM(AH32)*(1+Dashboard_2!$H$58)^Model_2!AH$54</f>
        <v>0</v>
      </c>
      <c r="AI77" s="227">
        <f>SUM(AI32)*(1+Dashboard_2!$H$58)^Model_2!AI$54</f>
        <v>0</v>
      </c>
      <c r="AJ77" s="227">
        <f>SUM(AJ32)*(1+Dashboard_2!$H$58)^Model_2!AJ$54</f>
        <v>0</v>
      </c>
      <c r="AK77" s="227">
        <f>SUM(AK32)*(1+Dashboard_2!$H$58)^Model_2!AK$54</f>
        <v>0</v>
      </c>
      <c r="AL77" s="227">
        <f>SUM(AL32)*(1+Dashboard_2!$H$58)^Model_2!AL$54</f>
        <v>0</v>
      </c>
      <c r="AM77" s="227">
        <f>SUM(AM32)*(1+Dashboard_2!$H$58)^Model_2!AM$54</f>
        <v>0</v>
      </c>
      <c r="AN77" s="227">
        <f>SUM(AN32)*(1+Dashboard_2!$H$58)^Model_2!AN$54</f>
        <v>0</v>
      </c>
      <c r="AO77" s="227">
        <f>SUM(AO32)*(1+Dashboard_2!$H$58)^Model_2!AO$54</f>
        <v>0</v>
      </c>
      <c r="AP77" s="227">
        <f>SUM(AP32)*(1+Dashboard_2!$H$58)^Model_2!AP$54</f>
        <v>0</v>
      </c>
      <c r="AQ77" s="227">
        <f>SUM(AQ32)*(1+Dashboard_2!$H$58)^Model_2!AQ$54</f>
        <v>0</v>
      </c>
      <c r="AR77" s="227">
        <f>SUM(AR32)*(1+Dashboard_2!$H$58)^Model_2!AR$54</f>
        <v>0</v>
      </c>
      <c r="AS77" s="227">
        <f>SUM(AS32)*(1+Dashboard_2!$H$58)^Model_2!AS$54</f>
        <v>0</v>
      </c>
      <c r="AT77" s="227">
        <f>SUM(AT32)*(1+Dashboard_2!$H$58)^Model_2!AT$54</f>
        <v>0</v>
      </c>
      <c r="AU77" s="227">
        <f>SUM(AU32)*(1+Dashboard_2!$H$58)^Model_2!AU$54</f>
        <v>0</v>
      </c>
      <c r="AV77" s="227">
        <f>SUM(AV32)*(1+Dashboard_2!$H$58)^Model_2!AV$54</f>
        <v>0</v>
      </c>
      <c r="AW77" s="227">
        <f>SUM(AW32)*(1+Dashboard_2!$H$58)^Model_2!AW$54</f>
        <v>0</v>
      </c>
      <c r="AX77" s="227">
        <f>SUM(AX32)*(1+Dashboard_2!$H$58)^Model_2!AX$54</f>
        <v>0</v>
      </c>
      <c r="AY77" s="227">
        <f>SUM(AY32)*(1+Dashboard_2!$H$58)^Model_2!AY$54</f>
        <v>0</v>
      </c>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row>
    <row r="78" spans="1:98" s="138" customFormat="1" x14ac:dyDescent="0.45">
      <c r="A78" s="41" t="str">
        <f t="shared" si="18"/>
        <v>User specified cost item 5 ($/tree per annum)</v>
      </c>
      <c r="B78" s="227">
        <f>SUM(B33)*(1+Dashboard_2!$H$58)^Model_2!B$54</f>
        <v>0</v>
      </c>
      <c r="C78" s="227">
        <f>SUM(C33)*(1+Dashboard_2!$H$58)^Model_2!C$54</f>
        <v>0</v>
      </c>
      <c r="D78" s="227">
        <f>SUM(D33)*(1+Dashboard_2!$H$58)^Model_2!D$54</f>
        <v>0</v>
      </c>
      <c r="E78" s="227">
        <f>SUM(E33)*(1+Dashboard_2!$H$58)^Model_2!E$54</f>
        <v>0</v>
      </c>
      <c r="F78" s="227">
        <f>SUM(F33)*(1+Dashboard_2!$H$58)^Model_2!F$54</f>
        <v>0</v>
      </c>
      <c r="G78" s="227">
        <f>SUM(G33)*(1+Dashboard_2!$H$58)^Model_2!G$54</f>
        <v>0</v>
      </c>
      <c r="H78" s="227">
        <f>SUM(H33)*(1+Dashboard_2!$H$58)^Model_2!H$54</f>
        <v>0</v>
      </c>
      <c r="I78" s="227">
        <f>SUM(I33)*(1+Dashboard_2!$H$58)^Model_2!I$54</f>
        <v>0</v>
      </c>
      <c r="J78" s="227">
        <f>SUM(J33)*(1+Dashboard_2!$H$58)^Model_2!J$54</f>
        <v>0</v>
      </c>
      <c r="K78" s="227">
        <f>SUM(K33)*(1+Dashboard_2!$H$58)^Model_2!K$54</f>
        <v>0</v>
      </c>
      <c r="L78" s="227">
        <f>SUM(L33)*(1+Dashboard_2!$H$58)^Model_2!L$54</f>
        <v>0</v>
      </c>
      <c r="M78" s="227">
        <f>SUM(M33)*(1+Dashboard_2!$H$58)^Model_2!M$54</f>
        <v>0</v>
      </c>
      <c r="N78" s="227">
        <f>SUM(N33)*(1+Dashboard_2!$H$58)^Model_2!N$54</f>
        <v>0</v>
      </c>
      <c r="O78" s="227">
        <f>SUM(O33)*(1+Dashboard_2!$H$58)^Model_2!O$54</f>
        <v>0</v>
      </c>
      <c r="P78" s="227">
        <f>SUM(P33)*(1+Dashboard_2!$H$58)^Model_2!P$54</f>
        <v>0</v>
      </c>
      <c r="Q78" s="227">
        <f>SUM(Q33)*(1+Dashboard_2!$H$58)^Model_2!Q$54</f>
        <v>0</v>
      </c>
      <c r="R78" s="227">
        <f>SUM(R33)*(1+Dashboard_2!$H$58)^Model_2!R$54</f>
        <v>0</v>
      </c>
      <c r="S78" s="227">
        <f>SUM(S33)*(1+Dashboard_2!$H$58)^Model_2!S$54</f>
        <v>0</v>
      </c>
      <c r="T78" s="227">
        <f>SUM(T33)*(1+Dashboard_2!$H$58)^Model_2!T$54</f>
        <v>0</v>
      </c>
      <c r="U78" s="227">
        <f>SUM(U33)*(1+Dashboard_2!$H$58)^Model_2!U$54</f>
        <v>0</v>
      </c>
      <c r="V78" s="227">
        <f>SUM(V33)*(1+Dashboard_2!$H$58)^Model_2!V$54</f>
        <v>0</v>
      </c>
      <c r="W78" s="227">
        <f>SUM(W33)*(1+Dashboard_2!$H$58)^Model_2!W$54</f>
        <v>0</v>
      </c>
      <c r="X78" s="227">
        <f>SUM(X33)*(1+Dashboard_2!$H$58)^Model_2!X$54</f>
        <v>0</v>
      </c>
      <c r="Y78" s="227">
        <f>SUM(Y33)*(1+Dashboard_2!$H$58)^Model_2!Y$54</f>
        <v>0</v>
      </c>
      <c r="Z78" s="227">
        <f>SUM(Z33)*(1+Dashboard_2!$H$58)^Model_2!Z$54</f>
        <v>0</v>
      </c>
      <c r="AA78" s="227">
        <f>SUM(AA33)*(1+Dashboard_2!$H$58)^Model_2!AA$54</f>
        <v>0</v>
      </c>
      <c r="AB78" s="227">
        <f>SUM(AB33)*(1+Dashboard_2!$H$58)^Model_2!AB$54</f>
        <v>0</v>
      </c>
      <c r="AC78" s="227">
        <f>SUM(AC33)*(1+Dashboard_2!$H$58)^Model_2!AC$54</f>
        <v>0</v>
      </c>
      <c r="AD78" s="227">
        <f>SUM(AD33)*(1+Dashboard_2!$H$58)^Model_2!AD$54</f>
        <v>0</v>
      </c>
      <c r="AE78" s="227">
        <f>SUM(AE33)*(1+Dashboard_2!$H$58)^Model_2!AE$54</f>
        <v>0</v>
      </c>
      <c r="AF78" s="227">
        <f>SUM(AF33)*(1+Dashboard_2!$H$58)^Model_2!AF$54</f>
        <v>0</v>
      </c>
      <c r="AG78" s="227">
        <f>SUM(AG33)*(1+Dashboard_2!$H$58)^Model_2!AG$54</f>
        <v>0</v>
      </c>
      <c r="AH78" s="227">
        <f>SUM(AH33)*(1+Dashboard_2!$H$58)^Model_2!AH$54</f>
        <v>0</v>
      </c>
      <c r="AI78" s="227">
        <f>SUM(AI33)*(1+Dashboard_2!$H$58)^Model_2!AI$54</f>
        <v>0</v>
      </c>
      <c r="AJ78" s="227">
        <f>SUM(AJ33)*(1+Dashboard_2!$H$58)^Model_2!AJ$54</f>
        <v>0</v>
      </c>
      <c r="AK78" s="227">
        <f>SUM(AK33)*(1+Dashboard_2!$H$58)^Model_2!AK$54</f>
        <v>0</v>
      </c>
      <c r="AL78" s="227">
        <f>SUM(AL33)*(1+Dashboard_2!$H$58)^Model_2!AL$54</f>
        <v>0</v>
      </c>
      <c r="AM78" s="227">
        <f>SUM(AM33)*(1+Dashboard_2!$H$58)^Model_2!AM$54</f>
        <v>0</v>
      </c>
      <c r="AN78" s="227">
        <f>SUM(AN33)*(1+Dashboard_2!$H$58)^Model_2!AN$54</f>
        <v>0</v>
      </c>
      <c r="AO78" s="227">
        <f>SUM(AO33)*(1+Dashboard_2!$H$58)^Model_2!AO$54</f>
        <v>0</v>
      </c>
      <c r="AP78" s="227">
        <f>SUM(AP33)*(1+Dashboard_2!$H$58)^Model_2!AP$54</f>
        <v>0</v>
      </c>
      <c r="AQ78" s="227">
        <f>SUM(AQ33)*(1+Dashboard_2!$H$58)^Model_2!AQ$54</f>
        <v>0</v>
      </c>
      <c r="AR78" s="227">
        <f>SUM(AR33)*(1+Dashboard_2!$H$58)^Model_2!AR$54</f>
        <v>0</v>
      </c>
      <c r="AS78" s="227">
        <f>SUM(AS33)*(1+Dashboard_2!$H$58)^Model_2!AS$54</f>
        <v>0</v>
      </c>
      <c r="AT78" s="227">
        <f>SUM(AT33)*(1+Dashboard_2!$H$58)^Model_2!AT$54</f>
        <v>0</v>
      </c>
      <c r="AU78" s="227">
        <f>SUM(AU33)*(1+Dashboard_2!$H$58)^Model_2!AU$54</f>
        <v>0</v>
      </c>
      <c r="AV78" s="227">
        <f>SUM(AV33)*(1+Dashboard_2!$H$58)^Model_2!AV$54</f>
        <v>0</v>
      </c>
      <c r="AW78" s="227">
        <f>SUM(AW33)*(1+Dashboard_2!$H$58)^Model_2!AW$54</f>
        <v>0</v>
      </c>
      <c r="AX78" s="227">
        <f>SUM(AX33)*(1+Dashboard_2!$H$58)^Model_2!AX$54</f>
        <v>0</v>
      </c>
      <c r="AY78" s="227">
        <f>SUM(AY33)*(1+Dashboard_2!$H$58)^Model_2!AY$54</f>
        <v>0</v>
      </c>
      <c r="AZ78" s="228"/>
      <c r="BA78" s="228"/>
      <c r="BB78" s="228"/>
      <c r="BC78" s="228"/>
      <c r="BD78" s="228"/>
      <c r="BE78" s="228"/>
      <c r="BF78" s="228"/>
      <c r="BG78" s="228"/>
      <c r="BH78" s="228"/>
      <c r="BI78" s="228"/>
      <c r="BJ78" s="228"/>
      <c r="BK78" s="228"/>
      <c r="BL78" s="228"/>
      <c r="BM78" s="228"/>
      <c r="BN78" s="228"/>
      <c r="BO78" s="228"/>
      <c r="BP78" s="228"/>
      <c r="BQ78" s="228"/>
      <c r="BR78" s="228"/>
      <c r="BS78" s="228"/>
      <c r="BT78" s="228"/>
      <c r="BU78" s="228"/>
      <c r="BV78" s="228"/>
      <c r="BW78" s="228"/>
      <c r="BX78" s="228"/>
      <c r="BY78" s="228"/>
      <c r="BZ78" s="228"/>
      <c r="CA78" s="228"/>
      <c r="CB78" s="228"/>
      <c r="CC78" s="228"/>
      <c r="CD78" s="228"/>
      <c r="CE78" s="228"/>
      <c r="CF78" s="228"/>
      <c r="CG78" s="228"/>
      <c r="CH78" s="228"/>
      <c r="CI78" s="228"/>
      <c r="CJ78" s="228"/>
      <c r="CK78" s="228"/>
      <c r="CL78" s="228"/>
      <c r="CM78" s="228"/>
      <c r="CN78" s="228"/>
      <c r="CO78" s="228"/>
      <c r="CP78" s="228"/>
      <c r="CQ78" s="228"/>
      <c r="CR78" s="228"/>
      <c r="CS78" s="228"/>
      <c r="CT78" s="228"/>
    </row>
  </sheetData>
  <sheetProtection algorithmName="SHA-512" hashValue="148aI4C4sv0uhUP8k9lmQ7LdiAc8qKmRragQQ8gVGr/QkP8rL5I9l5GUQ2O5G5hq/WSbhBsHVfiunSk94K/oww==" saltValue="OSRncn257/gR9kT8gSXtNg==" spinCount="100000" sheet="1" formatColumns="0" formatRows="0"/>
  <dataValidations count="2">
    <dataValidation allowBlank="1" showInputMessage="1" showErrorMessage="1" prompt="Cost of removing pre-project trees before planting new trees" sqref="B10" xr:uid="{186BFEAB-962D-4B7D-80CB-1B344B4E1579}"/>
    <dataValidation allowBlank="1" showInputMessage="1" showErrorMessage="1" prompt="Total cost of removing mature but dead/dying trees" sqref="H10" xr:uid="{8512AF05-D6E3-40C8-BC7B-9014F443CB91}"/>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09C4-5D1F-4A9E-B5F1-F4E8A60B46BF}">
  <sheetPr published="0">
    <tabColor theme="6"/>
  </sheetPr>
  <dimension ref="A1:CT72"/>
  <sheetViews>
    <sheetView workbookViewId="0">
      <selection activeCell="E24" sqref="E24"/>
    </sheetView>
  </sheetViews>
  <sheetFormatPr defaultColWidth="0" defaultRowHeight="14.25" zeroHeight="1" x14ac:dyDescent="0.45"/>
  <cols>
    <col min="1" max="1" width="54.265625" bestFit="1" customWidth="1"/>
    <col min="2" max="2" width="9.3984375" bestFit="1" customWidth="1"/>
    <col min="3" max="51" width="9" customWidth="1"/>
    <col min="52" max="98" width="0" style="105" hidden="1" customWidth="1"/>
    <col min="99" max="16384" width="9.1328125" style="105" hidden="1"/>
  </cols>
  <sheetData>
    <row r="1" spans="1:98" x14ac:dyDescent="0.4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98" s="246" customFormat="1" ht="18" x14ac:dyDescent="0.55000000000000004">
      <c r="A2" s="284" t="s">
        <v>48</v>
      </c>
      <c r="B2" s="219" t="s">
        <v>49</v>
      </c>
      <c r="C2" s="219" t="s">
        <v>50</v>
      </c>
      <c r="D2" s="219" t="s">
        <v>51</v>
      </c>
      <c r="E2" s="219" t="s">
        <v>52</v>
      </c>
      <c r="F2" s="219" t="s">
        <v>53</v>
      </c>
      <c r="G2" s="219" t="s">
        <v>54</v>
      </c>
      <c r="H2" s="219" t="s">
        <v>55</v>
      </c>
      <c r="I2" s="219" t="s">
        <v>56</v>
      </c>
      <c r="J2" s="219" t="s">
        <v>57</v>
      </c>
      <c r="K2" s="219" t="s">
        <v>58</v>
      </c>
      <c r="L2" s="219" t="s">
        <v>59</v>
      </c>
      <c r="M2" s="219" t="s">
        <v>60</v>
      </c>
      <c r="N2" s="219" t="s">
        <v>61</v>
      </c>
      <c r="O2" s="219" t="s">
        <v>62</v>
      </c>
      <c r="P2" s="219" t="s">
        <v>63</v>
      </c>
      <c r="Q2" s="219" t="s">
        <v>64</v>
      </c>
      <c r="R2" s="219" t="s">
        <v>65</v>
      </c>
      <c r="S2" s="219" t="s">
        <v>66</v>
      </c>
      <c r="T2" s="219" t="s">
        <v>67</v>
      </c>
      <c r="U2" s="219" t="s">
        <v>68</v>
      </c>
      <c r="V2" s="219" t="s">
        <v>69</v>
      </c>
      <c r="W2" s="219" t="s">
        <v>70</v>
      </c>
      <c r="X2" s="219" t="s">
        <v>71</v>
      </c>
      <c r="Y2" s="219" t="s">
        <v>72</v>
      </c>
      <c r="Z2" s="219" t="s">
        <v>73</v>
      </c>
      <c r="AA2" s="219" t="s">
        <v>74</v>
      </c>
      <c r="AB2" s="219" t="s">
        <v>75</v>
      </c>
      <c r="AC2" s="219" t="s">
        <v>76</v>
      </c>
      <c r="AD2" s="219" t="s">
        <v>77</v>
      </c>
      <c r="AE2" s="219" t="s">
        <v>78</v>
      </c>
      <c r="AF2" s="219" t="s">
        <v>273</v>
      </c>
      <c r="AG2" s="219" t="s">
        <v>277</v>
      </c>
      <c r="AH2" s="219" t="s">
        <v>278</v>
      </c>
      <c r="AI2" s="219" t="s">
        <v>279</v>
      </c>
      <c r="AJ2" s="219" t="s">
        <v>280</v>
      </c>
      <c r="AK2" s="219" t="s">
        <v>281</v>
      </c>
      <c r="AL2" s="219" t="s">
        <v>282</v>
      </c>
      <c r="AM2" s="219" t="s">
        <v>283</v>
      </c>
      <c r="AN2" s="219" t="s">
        <v>284</v>
      </c>
      <c r="AO2" s="219" t="s">
        <v>285</v>
      </c>
      <c r="AP2" s="219" t="s">
        <v>286</v>
      </c>
      <c r="AQ2" s="219" t="s">
        <v>287</v>
      </c>
      <c r="AR2" s="219" t="s">
        <v>288</v>
      </c>
      <c r="AS2" s="219" t="s">
        <v>289</v>
      </c>
      <c r="AT2" s="219" t="s">
        <v>290</v>
      </c>
      <c r="AU2" s="219" t="s">
        <v>291</v>
      </c>
      <c r="AV2" s="219" t="s">
        <v>292</v>
      </c>
      <c r="AW2" s="219" t="s">
        <v>293</v>
      </c>
      <c r="AX2" s="219" t="s">
        <v>294</v>
      </c>
      <c r="AY2" s="219" t="s">
        <v>295</v>
      </c>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row>
    <row r="3" spans="1:98" x14ac:dyDescent="0.45">
      <c r="A3" s="144" t="s">
        <v>79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row>
    <row r="4" spans="1:98" x14ac:dyDescent="0.45">
      <c r="A4" s="136" t="s">
        <v>434</v>
      </c>
      <c r="B4" s="137">
        <f>Dashboard_3!H12*Dashboard_3!H6</f>
        <v>0</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98" x14ac:dyDescent="0.45">
      <c r="A5" s="136" t="s">
        <v>367</v>
      </c>
      <c r="B5" s="137">
        <f>Dashboard_3!H13*Dashboard_3!H6</f>
        <v>15000</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98" x14ac:dyDescent="0.45">
      <c r="A6" s="136" t="s">
        <v>323</v>
      </c>
      <c r="B6" s="137">
        <f>Dashboard_3!H14*Dashboard_3!H8*Dashboard_3!H6</f>
        <v>2500</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98" x14ac:dyDescent="0.45">
      <c r="A7" s="136" t="s">
        <v>368</v>
      </c>
      <c r="B7" s="137">
        <f>Dashboard_3!H15*Dashboard_3!H16*Dashboard_3!H6</f>
        <v>960</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98" x14ac:dyDescent="0.45">
      <c r="A8" s="136" t="s">
        <v>369</v>
      </c>
      <c r="B8" s="137"/>
      <c r="C8" s="136">
        <f>Dashboard_3!H15*Dashboard_3!H17*Dashboard_3!H6</f>
        <v>320</v>
      </c>
      <c r="D8" s="136">
        <f>C8</f>
        <v>320</v>
      </c>
      <c r="E8" s="136">
        <f t="shared" ref="E8:K8" si="0">D8</f>
        <v>320</v>
      </c>
      <c r="F8" s="136">
        <f t="shared" si="0"/>
        <v>320</v>
      </c>
      <c r="G8" s="136">
        <f t="shared" si="0"/>
        <v>320</v>
      </c>
      <c r="H8" s="136">
        <f t="shared" si="0"/>
        <v>320</v>
      </c>
      <c r="I8" s="136">
        <f t="shared" si="0"/>
        <v>320</v>
      </c>
      <c r="J8" s="136">
        <f t="shared" si="0"/>
        <v>320</v>
      </c>
      <c r="K8" s="136">
        <f t="shared" si="0"/>
        <v>320</v>
      </c>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98" x14ac:dyDescent="0.45">
      <c r="A9" s="136" t="s">
        <v>370</v>
      </c>
      <c r="B9" s="183"/>
      <c r="C9" s="136"/>
      <c r="D9" s="136"/>
      <c r="E9" s="136"/>
      <c r="F9" s="136"/>
      <c r="G9" s="136"/>
      <c r="H9" s="136"/>
      <c r="I9" s="145"/>
      <c r="J9" s="145"/>
      <c r="K9" s="145"/>
      <c r="L9" s="145">
        <f>Dashboard_3!H15*Dashboard_3!H18*Dashboard_3!H6</f>
        <v>0</v>
      </c>
      <c r="M9" s="145">
        <f>L9</f>
        <v>0</v>
      </c>
      <c r="N9" s="145">
        <f t="shared" ref="N9:AY9" si="1">M9</f>
        <v>0</v>
      </c>
      <c r="O9" s="145">
        <f t="shared" si="1"/>
        <v>0</v>
      </c>
      <c r="P9" s="145">
        <f t="shared" si="1"/>
        <v>0</v>
      </c>
      <c r="Q9" s="145">
        <f t="shared" si="1"/>
        <v>0</v>
      </c>
      <c r="R9" s="145">
        <f t="shared" si="1"/>
        <v>0</v>
      </c>
      <c r="S9" s="145">
        <f t="shared" si="1"/>
        <v>0</v>
      </c>
      <c r="T9" s="145">
        <f t="shared" si="1"/>
        <v>0</v>
      </c>
      <c r="U9" s="145">
        <f t="shared" si="1"/>
        <v>0</v>
      </c>
      <c r="V9" s="145">
        <f t="shared" si="1"/>
        <v>0</v>
      </c>
      <c r="W9" s="145">
        <f t="shared" si="1"/>
        <v>0</v>
      </c>
      <c r="X9" s="145">
        <f t="shared" si="1"/>
        <v>0</v>
      </c>
      <c r="Y9" s="145">
        <f t="shared" si="1"/>
        <v>0</v>
      </c>
      <c r="Z9" s="145">
        <f t="shared" si="1"/>
        <v>0</v>
      </c>
      <c r="AA9" s="145">
        <f t="shared" si="1"/>
        <v>0</v>
      </c>
      <c r="AB9" s="145">
        <f t="shared" si="1"/>
        <v>0</v>
      </c>
      <c r="AC9" s="145">
        <f t="shared" si="1"/>
        <v>0</v>
      </c>
      <c r="AD9" s="145">
        <f t="shared" si="1"/>
        <v>0</v>
      </c>
      <c r="AE9" s="145">
        <f t="shared" si="1"/>
        <v>0</v>
      </c>
      <c r="AF9" s="145">
        <f t="shared" si="1"/>
        <v>0</v>
      </c>
      <c r="AG9" s="145">
        <f t="shared" si="1"/>
        <v>0</v>
      </c>
      <c r="AH9" s="145">
        <f t="shared" si="1"/>
        <v>0</v>
      </c>
      <c r="AI9" s="145">
        <f t="shared" si="1"/>
        <v>0</v>
      </c>
      <c r="AJ9" s="145">
        <f t="shared" si="1"/>
        <v>0</v>
      </c>
      <c r="AK9" s="145">
        <f t="shared" si="1"/>
        <v>0</v>
      </c>
      <c r="AL9" s="145">
        <f t="shared" si="1"/>
        <v>0</v>
      </c>
      <c r="AM9" s="145">
        <f t="shared" si="1"/>
        <v>0</v>
      </c>
      <c r="AN9" s="145">
        <f t="shared" si="1"/>
        <v>0</v>
      </c>
      <c r="AO9" s="145">
        <f t="shared" si="1"/>
        <v>0</v>
      </c>
      <c r="AP9" s="145">
        <f t="shared" si="1"/>
        <v>0</v>
      </c>
      <c r="AQ9" s="145">
        <f t="shared" si="1"/>
        <v>0</v>
      </c>
      <c r="AR9" s="145">
        <f t="shared" si="1"/>
        <v>0</v>
      </c>
      <c r="AS9" s="145">
        <f t="shared" si="1"/>
        <v>0</v>
      </c>
      <c r="AT9" s="145">
        <f t="shared" si="1"/>
        <v>0</v>
      </c>
      <c r="AU9" s="145">
        <f t="shared" si="1"/>
        <v>0</v>
      </c>
      <c r="AV9" s="145">
        <f t="shared" si="1"/>
        <v>0</v>
      </c>
      <c r="AW9" s="145">
        <f t="shared" si="1"/>
        <v>0</v>
      </c>
      <c r="AX9" s="145">
        <f t="shared" si="1"/>
        <v>0</v>
      </c>
      <c r="AY9" s="145">
        <f t="shared" si="1"/>
        <v>0</v>
      </c>
    </row>
    <row r="10" spans="1:98" x14ac:dyDescent="0.45">
      <c r="A10" s="136" t="s">
        <v>376</v>
      </c>
      <c r="B10" s="137">
        <f>Dashboard_3!H10*Dashboard_3!H9</f>
        <v>0</v>
      </c>
      <c r="C10" s="139"/>
      <c r="D10" s="136"/>
      <c r="E10" s="136"/>
      <c r="F10" s="136"/>
      <c r="G10" s="136"/>
      <c r="H10" s="140"/>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row>
    <row r="11" spans="1:98" x14ac:dyDescent="0.45">
      <c r="A11" s="136" t="str">
        <f>Dashboard_3!B29</f>
        <v>Tree protection fencing ($)</v>
      </c>
      <c r="B11" s="137">
        <f>Dashboard_3!H29</f>
        <v>0</v>
      </c>
      <c r="C11" s="139"/>
      <c r="D11" s="136"/>
      <c r="E11" s="136"/>
      <c r="F11" s="136"/>
      <c r="G11" s="136"/>
      <c r="H11" s="140"/>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row>
    <row r="12" spans="1:98" x14ac:dyDescent="0.45">
      <c r="A12" s="136" t="s">
        <v>371</v>
      </c>
      <c r="B12" s="134">
        <f>Dashboard_3!H22*Dashboard_3!$H$6</f>
        <v>0</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98" x14ac:dyDescent="0.45">
      <c r="A13" s="136" t="s">
        <v>372</v>
      </c>
      <c r="B13" s="134">
        <f>Dashboard_3!H23*Dashboard_3!$H$6</f>
        <v>0</v>
      </c>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98" x14ac:dyDescent="0.45">
      <c r="A14" s="136"/>
      <c r="B14" s="134"/>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98" x14ac:dyDescent="0.45">
      <c r="A15" s="218" t="s">
        <v>81</v>
      </c>
      <c r="B15" s="294">
        <f t="shared" ref="B15:AG15" si="2">SUM(B4:B14)</f>
        <v>18460</v>
      </c>
      <c r="C15" s="294">
        <f t="shared" si="2"/>
        <v>320</v>
      </c>
      <c r="D15" s="294">
        <f t="shared" si="2"/>
        <v>320</v>
      </c>
      <c r="E15" s="294">
        <f t="shared" si="2"/>
        <v>320</v>
      </c>
      <c r="F15" s="294">
        <f t="shared" si="2"/>
        <v>320</v>
      </c>
      <c r="G15" s="294">
        <f t="shared" si="2"/>
        <v>320</v>
      </c>
      <c r="H15" s="267">
        <f t="shared" si="2"/>
        <v>320</v>
      </c>
      <c r="I15" s="294">
        <f t="shared" si="2"/>
        <v>320</v>
      </c>
      <c r="J15" s="294">
        <f t="shared" si="2"/>
        <v>320</v>
      </c>
      <c r="K15" s="294">
        <f t="shared" si="2"/>
        <v>320</v>
      </c>
      <c r="L15" s="294">
        <f t="shared" si="2"/>
        <v>0</v>
      </c>
      <c r="M15" s="294">
        <f t="shared" si="2"/>
        <v>0</v>
      </c>
      <c r="N15" s="294">
        <f t="shared" si="2"/>
        <v>0</v>
      </c>
      <c r="O15" s="294">
        <f t="shared" si="2"/>
        <v>0</v>
      </c>
      <c r="P15" s="294">
        <f t="shared" si="2"/>
        <v>0</v>
      </c>
      <c r="Q15" s="294">
        <f t="shared" si="2"/>
        <v>0</v>
      </c>
      <c r="R15" s="294">
        <f t="shared" si="2"/>
        <v>0</v>
      </c>
      <c r="S15" s="294">
        <f t="shared" si="2"/>
        <v>0</v>
      </c>
      <c r="T15" s="294">
        <f t="shared" si="2"/>
        <v>0</v>
      </c>
      <c r="U15" s="294">
        <f t="shared" si="2"/>
        <v>0</v>
      </c>
      <c r="V15" s="294">
        <f t="shared" si="2"/>
        <v>0</v>
      </c>
      <c r="W15" s="294">
        <f t="shared" si="2"/>
        <v>0</v>
      </c>
      <c r="X15" s="294">
        <f t="shared" si="2"/>
        <v>0</v>
      </c>
      <c r="Y15" s="294">
        <f t="shared" si="2"/>
        <v>0</v>
      </c>
      <c r="Z15" s="294">
        <f t="shared" si="2"/>
        <v>0</v>
      </c>
      <c r="AA15" s="294">
        <f t="shared" si="2"/>
        <v>0</v>
      </c>
      <c r="AB15" s="294">
        <f t="shared" si="2"/>
        <v>0</v>
      </c>
      <c r="AC15" s="294">
        <f t="shared" si="2"/>
        <v>0</v>
      </c>
      <c r="AD15" s="294">
        <f t="shared" si="2"/>
        <v>0</v>
      </c>
      <c r="AE15" s="294">
        <f t="shared" si="2"/>
        <v>0</v>
      </c>
      <c r="AF15" s="294">
        <f t="shared" si="2"/>
        <v>0</v>
      </c>
      <c r="AG15" s="294">
        <f t="shared" si="2"/>
        <v>0</v>
      </c>
      <c r="AH15" s="294">
        <f t="shared" ref="AH15:AY15" si="3">SUM(AH4:AH14)</f>
        <v>0</v>
      </c>
      <c r="AI15" s="294">
        <f t="shared" si="3"/>
        <v>0</v>
      </c>
      <c r="AJ15" s="294">
        <f t="shared" si="3"/>
        <v>0</v>
      </c>
      <c r="AK15" s="294">
        <f t="shared" si="3"/>
        <v>0</v>
      </c>
      <c r="AL15" s="294">
        <f t="shared" si="3"/>
        <v>0</v>
      </c>
      <c r="AM15" s="294">
        <f t="shared" si="3"/>
        <v>0</v>
      </c>
      <c r="AN15" s="294">
        <f t="shared" si="3"/>
        <v>0</v>
      </c>
      <c r="AO15" s="294">
        <f t="shared" si="3"/>
        <v>0</v>
      </c>
      <c r="AP15" s="294">
        <f t="shared" si="3"/>
        <v>0</v>
      </c>
      <c r="AQ15" s="294">
        <f t="shared" si="3"/>
        <v>0</v>
      </c>
      <c r="AR15" s="294">
        <f t="shared" si="3"/>
        <v>0</v>
      </c>
      <c r="AS15" s="294">
        <f t="shared" si="3"/>
        <v>0</v>
      </c>
      <c r="AT15" s="294">
        <f t="shared" si="3"/>
        <v>0</v>
      </c>
      <c r="AU15" s="294">
        <f t="shared" si="3"/>
        <v>0</v>
      </c>
      <c r="AV15" s="294">
        <f t="shared" si="3"/>
        <v>0</v>
      </c>
      <c r="AW15" s="294">
        <f t="shared" si="3"/>
        <v>0</v>
      </c>
      <c r="AX15" s="294">
        <f t="shared" si="3"/>
        <v>0</v>
      </c>
      <c r="AY15" s="294">
        <f t="shared" si="3"/>
        <v>0</v>
      </c>
    </row>
    <row r="16" spans="1:98" x14ac:dyDescent="0.45">
      <c r="A16" s="198"/>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row>
    <row r="17" spans="1:98" x14ac:dyDescent="0.45">
      <c r="A17" s="144" t="s">
        <v>135</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row>
    <row r="18" spans="1:98" x14ac:dyDescent="0.45">
      <c r="A18" s="136" t="s">
        <v>379</v>
      </c>
      <c r="B18" s="134">
        <f>Dashboard_3!H31*Dashboard_3!H6</f>
        <v>564.90292281149993</v>
      </c>
      <c r="C18" s="134">
        <f>B18</f>
        <v>564.90292281149993</v>
      </c>
      <c r="D18" s="134">
        <f t="shared" ref="D18:J18" si="4">C18</f>
        <v>564.90292281149993</v>
      </c>
      <c r="E18" s="134">
        <f t="shared" si="4"/>
        <v>564.90292281149993</v>
      </c>
      <c r="F18" s="134">
        <f t="shared" si="4"/>
        <v>564.90292281149993</v>
      </c>
      <c r="G18" s="134">
        <f t="shared" si="4"/>
        <v>564.90292281149993</v>
      </c>
      <c r="H18" s="134">
        <f t="shared" si="4"/>
        <v>564.90292281149993</v>
      </c>
      <c r="I18" s="134">
        <f t="shared" si="4"/>
        <v>564.90292281149993</v>
      </c>
      <c r="J18" s="134">
        <f t="shared" si="4"/>
        <v>564.90292281149993</v>
      </c>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row>
    <row r="19" spans="1:98" x14ac:dyDescent="0.45">
      <c r="A19" s="136" t="s">
        <v>380</v>
      </c>
      <c r="B19" s="134"/>
      <c r="C19" s="134"/>
      <c r="D19" s="134"/>
      <c r="E19" s="134"/>
      <c r="F19" s="134"/>
      <c r="G19" s="134"/>
      <c r="H19" s="145"/>
      <c r="I19" s="145"/>
      <c r="J19" s="145"/>
      <c r="K19" s="134">
        <f>Dashboard_3!H32*Dashboard_3!H6</f>
        <v>137.28642864299997</v>
      </c>
      <c r="L19" s="134">
        <f>K19</f>
        <v>137.28642864299997</v>
      </c>
      <c r="M19" s="134">
        <f t="shared" ref="M19:AY19" si="5">L19</f>
        <v>137.28642864299997</v>
      </c>
      <c r="N19" s="134">
        <f t="shared" si="5"/>
        <v>137.28642864299997</v>
      </c>
      <c r="O19" s="134">
        <f t="shared" si="5"/>
        <v>137.28642864299997</v>
      </c>
      <c r="P19" s="134">
        <f t="shared" si="5"/>
        <v>137.28642864299997</v>
      </c>
      <c r="Q19" s="134">
        <f t="shared" si="5"/>
        <v>137.28642864299997</v>
      </c>
      <c r="R19" s="134">
        <f t="shared" si="5"/>
        <v>137.28642864299997</v>
      </c>
      <c r="S19" s="134">
        <f t="shared" si="5"/>
        <v>137.28642864299997</v>
      </c>
      <c r="T19" s="134">
        <f t="shared" si="5"/>
        <v>137.28642864299997</v>
      </c>
      <c r="U19" s="134">
        <f t="shared" si="5"/>
        <v>137.28642864299997</v>
      </c>
      <c r="V19" s="134">
        <f t="shared" si="5"/>
        <v>137.28642864299997</v>
      </c>
      <c r="W19" s="134">
        <f t="shared" si="5"/>
        <v>137.28642864299997</v>
      </c>
      <c r="X19" s="134">
        <f t="shared" si="5"/>
        <v>137.28642864299997</v>
      </c>
      <c r="Y19" s="134">
        <f t="shared" si="5"/>
        <v>137.28642864299997</v>
      </c>
      <c r="Z19" s="134">
        <f t="shared" si="5"/>
        <v>137.28642864299997</v>
      </c>
      <c r="AA19" s="134">
        <f t="shared" si="5"/>
        <v>137.28642864299997</v>
      </c>
      <c r="AB19" s="134">
        <f t="shared" si="5"/>
        <v>137.28642864299997</v>
      </c>
      <c r="AC19" s="134">
        <f t="shared" si="5"/>
        <v>137.28642864299997</v>
      </c>
      <c r="AD19" s="134">
        <f t="shared" si="5"/>
        <v>137.28642864299997</v>
      </c>
      <c r="AE19" s="134">
        <f t="shared" si="5"/>
        <v>137.28642864299997</v>
      </c>
      <c r="AF19" s="134">
        <f t="shared" si="5"/>
        <v>137.28642864299997</v>
      </c>
      <c r="AG19" s="134">
        <f t="shared" si="5"/>
        <v>137.28642864299997</v>
      </c>
      <c r="AH19" s="134">
        <f t="shared" si="5"/>
        <v>137.28642864299997</v>
      </c>
      <c r="AI19" s="134">
        <f t="shared" si="5"/>
        <v>137.28642864299997</v>
      </c>
      <c r="AJ19" s="134">
        <f t="shared" si="5"/>
        <v>137.28642864299997</v>
      </c>
      <c r="AK19" s="134">
        <f t="shared" si="5"/>
        <v>137.28642864299997</v>
      </c>
      <c r="AL19" s="134">
        <f t="shared" si="5"/>
        <v>137.28642864299997</v>
      </c>
      <c r="AM19" s="134">
        <f t="shared" si="5"/>
        <v>137.28642864299997</v>
      </c>
      <c r="AN19" s="134">
        <f t="shared" si="5"/>
        <v>137.28642864299997</v>
      </c>
      <c r="AO19" s="134">
        <f t="shared" si="5"/>
        <v>137.28642864299997</v>
      </c>
      <c r="AP19" s="134">
        <f t="shared" si="5"/>
        <v>137.28642864299997</v>
      </c>
      <c r="AQ19" s="134">
        <f t="shared" si="5"/>
        <v>137.28642864299997</v>
      </c>
      <c r="AR19" s="134">
        <f t="shared" si="5"/>
        <v>137.28642864299997</v>
      </c>
      <c r="AS19" s="134">
        <f t="shared" si="5"/>
        <v>137.28642864299997</v>
      </c>
      <c r="AT19" s="134">
        <f t="shared" si="5"/>
        <v>137.28642864299997</v>
      </c>
      <c r="AU19" s="134">
        <f t="shared" si="5"/>
        <v>137.28642864299997</v>
      </c>
      <c r="AV19" s="134">
        <f t="shared" si="5"/>
        <v>137.28642864299997</v>
      </c>
      <c r="AW19" s="134">
        <f t="shared" si="5"/>
        <v>137.28642864299997</v>
      </c>
      <c r="AX19" s="134">
        <f t="shared" si="5"/>
        <v>137.28642864299997</v>
      </c>
      <c r="AY19" s="134">
        <f t="shared" si="5"/>
        <v>137.28642864299997</v>
      </c>
    </row>
    <row r="20" spans="1:98" x14ac:dyDescent="0.45">
      <c r="A20" s="136" t="s">
        <v>366</v>
      </c>
      <c r="B20" s="134">
        <f>Dashboard_3!H33*Dashboard_3!H6</f>
        <v>7500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row>
    <row r="21" spans="1:98" x14ac:dyDescent="0.45">
      <c r="A21" s="136" t="s">
        <v>258</v>
      </c>
      <c r="B21" s="134">
        <f>Dashboard_3!H19*Dashboard_3!H20*Dashboard_3!H21</f>
        <v>90</v>
      </c>
      <c r="C21" s="134">
        <f>B21</f>
        <v>90</v>
      </c>
      <c r="D21" s="134">
        <f t="shared" ref="D21:J21" si="6">C21</f>
        <v>90</v>
      </c>
      <c r="E21" s="134">
        <f t="shared" si="6"/>
        <v>90</v>
      </c>
      <c r="F21" s="134">
        <f t="shared" si="6"/>
        <v>90</v>
      </c>
      <c r="G21" s="134">
        <f t="shared" si="6"/>
        <v>90</v>
      </c>
      <c r="H21" s="134">
        <f t="shared" si="6"/>
        <v>90</v>
      </c>
      <c r="I21" s="134">
        <f t="shared" si="6"/>
        <v>90</v>
      </c>
      <c r="J21" s="134">
        <f t="shared" si="6"/>
        <v>90</v>
      </c>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row>
    <row r="22" spans="1:98" x14ac:dyDescent="0.45">
      <c r="A22" s="295" t="s">
        <v>373</v>
      </c>
      <c r="B22" s="197">
        <f>Dashboard_3!H24*Dashboard_3!$H$6</f>
        <v>0</v>
      </c>
      <c r="C22" s="134"/>
      <c r="D22" s="134"/>
      <c r="E22" s="134"/>
      <c r="F22" s="134"/>
      <c r="G22" s="134"/>
      <c r="H22" s="136"/>
      <c r="I22" s="136"/>
      <c r="J22" s="136"/>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row>
    <row r="23" spans="1:98" x14ac:dyDescent="0.45">
      <c r="A23" s="295" t="s">
        <v>374</v>
      </c>
      <c r="B23" s="197">
        <f>Dashboard_3!H25*Dashboard_3!$H$6</f>
        <v>0</v>
      </c>
      <c r="C23" s="134"/>
      <c r="D23" s="134"/>
      <c r="E23" s="134"/>
      <c r="F23" s="134"/>
      <c r="G23" s="134"/>
      <c r="H23" s="136"/>
      <c r="I23" s="136"/>
      <c r="J23" s="136"/>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row>
    <row r="24" spans="1:98" s="246" customFormat="1" x14ac:dyDescent="0.45">
      <c r="A24" s="296" t="s">
        <v>375</v>
      </c>
      <c r="B24" s="330">
        <f>Dashboard_3!H26*Dashboard_3!$H$6</f>
        <v>0</v>
      </c>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row>
    <row r="25" spans="1:98" s="246" customFormat="1" x14ac:dyDescent="0.45">
      <c r="A25" s="218" t="s">
        <v>82</v>
      </c>
      <c r="B25" s="343">
        <f>SUM(B18:B24)</f>
        <v>8154.9029228114996</v>
      </c>
      <c r="C25" s="343">
        <f t="shared" ref="C25:AY25" si="7">SUM(C18:C24)</f>
        <v>654.90292281149993</v>
      </c>
      <c r="D25" s="343">
        <f t="shared" si="7"/>
        <v>654.90292281149993</v>
      </c>
      <c r="E25" s="343">
        <f t="shared" si="7"/>
        <v>654.90292281149993</v>
      </c>
      <c r="F25" s="343">
        <f t="shared" si="7"/>
        <v>654.90292281149993</v>
      </c>
      <c r="G25" s="343">
        <f t="shared" si="7"/>
        <v>654.90292281149993</v>
      </c>
      <c r="H25" s="343">
        <f t="shared" si="7"/>
        <v>654.90292281149993</v>
      </c>
      <c r="I25" s="343">
        <f t="shared" si="7"/>
        <v>654.90292281149993</v>
      </c>
      <c r="J25" s="343">
        <f t="shared" si="7"/>
        <v>654.90292281149993</v>
      </c>
      <c r="K25" s="343">
        <f t="shared" si="7"/>
        <v>137.28642864299997</v>
      </c>
      <c r="L25" s="343">
        <f t="shared" si="7"/>
        <v>137.28642864299997</v>
      </c>
      <c r="M25" s="343">
        <f t="shared" si="7"/>
        <v>137.28642864299997</v>
      </c>
      <c r="N25" s="343">
        <f t="shared" si="7"/>
        <v>137.28642864299997</v>
      </c>
      <c r="O25" s="343">
        <f t="shared" si="7"/>
        <v>137.28642864299997</v>
      </c>
      <c r="P25" s="343">
        <f t="shared" si="7"/>
        <v>137.28642864299997</v>
      </c>
      <c r="Q25" s="343">
        <f t="shared" si="7"/>
        <v>137.28642864299997</v>
      </c>
      <c r="R25" s="343">
        <f t="shared" si="7"/>
        <v>137.28642864299997</v>
      </c>
      <c r="S25" s="343">
        <f t="shared" si="7"/>
        <v>137.28642864299997</v>
      </c>
      <c r="T25" s="343">
        <f t="shared" si="7"/>
        <v>137.28642864299997</v>
      </c>
      <c r="U25" s="343">
        <f t="shared" si="7"/>
        <v>137.28642864299997</v>
      </c>
      <c r="V25" s="343">
        <f t="shared" si="7"/>
        <v>137.28642864299997</v>
      </c>
      <c r="W25" s="343">
        <f t="shared" si="7"/>
        <v>137.28642864299997</v>
      </c>
      <c r="X25" s="343">
        <f t="shared" si="7"/>
        <v>137.28642864299997</v>
      </c>
      <c r="Y25" s="343">
        <f t="shared" si="7"/>
        <v>137.28642864299997</v>
      </c>
      <c r="Z25" s="343">
        <f t="shared" si="7"/>
        <v>137.28642864299997</v>
      </c>
      <c r="AA25" s="343">
        <f t="shared" si="7"/>
        <v>137.28642864299997</v>
      </c>
      <c r="AB25" s="343">
        <f t="shared" si="7"/>
        <v>137.28642864299997</v>
      </c>
      <c r="AC25" s="343">
        <f t="shared" si="7"/>
        <v>137.28642864299997</v>
      </c>
      <c r="AD25" s="343">
        <f t="shared" si="7"/>
        <v>137.28642864299997</v>
      </c>
      <c r="AE25" s="343">
        <f t="shared" si="7"/>
        <v>137.28642864299997</v>
      </c>
      <c r="AF25" s="343">
        <f t="shared" si="7"/>
        <v>137.28642864299997</v>
      </c>
      <c r="AG25" s="343">
        <f t="shared" si="7"/>
        <v>137.28642864299997</v>
      </c>
      <c r="AH25" s="343">
        <f t="shared" si="7"/>
        <v>137.28642864299997</v>
      </c>
      <c r="AI25" s="343">
        <f t="shared" si="7"/>
        <v>137.28642864299997</v>
      </c>
      <c r="AJ25" s="343">
        <f t="shared" si="7"/>
        <v>137.28642864299997</v>
      </c>
      <c r="AK25" s="343">
        <f t="shared" si="7"/>
        <v>137.28642864299997</v>
      </c>
      <c r="AL25" s="343">
        <f t="shared" si="7"/>
        <v>137.28642864299997</v>
      </c>
      <c r="AM25" s="343">
        <f t="shared" si="7"/>
        <v>137.28642864299997</v>
      </c>
      <c r="AN25" s="343">
        <f t="shared" si="7"/>
        <v>137.28642864299997</v>
      </c>
      <c r="AO25" s="343">
        <f t="shared" si="7"/>
        <v>137.28642864299997</v>
      </c>
      <c r="AP25" s="343">
        <f t="shared" si="7"/>
        <v>137.28642864299997</v>
      </c>
      <c r="AQ25" s="343">
        <f t="shared" si="7"/>
        <v>137.28642864299997</v>
      </c>
      <c r="AR25" s="343">
        <f t="shared" si="7"/>
        <v>137.28642864299997</v>
      </c>
      <c r="AS25" s="343">
        <f t="shared" si="7"/>
        <v>137.28642864299997</v>
      </c>
      <c r="AT25" s="343">
        <f t="shared" si="7"/>
        <v>137.28642864299997</v>
      </c>
      <c r="AU25" s="343">
        <f t="shared" si="7"/>
        <v>137.28642864299997</v>
      </c>
      <c r="AV25" s="343">
        <f t="shared" si="7"/>
        <v>137.28642864299997</v>
      </c>
      <c r="AW25" s="343">
        <f t="shared" si="7"/>
        <v>137.28642864299997</v>
      </c>
      <c r="AX25" s="343">
        <f t="shared" si="7"/>
        <v>137.28642864299997</v>
      </c>
      <c r="AY25" s="343">
        <f t="shared" si="7"/>
        <v>137.28642864299997</v>
      </c>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row>
    <row r="26" spans="1:98" s="246" customFormat="1" x14ac:dyDescent="0.45">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row>
    <row r="27" spans="1:98" s="246" customFormat="1" x14ac:dyDescent="0.45">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c r="CL27" s="287"/>
      <c r="CM27" s="287"/>
      <c r="CN27" s="287"/>
      <c r="CO27" s="287"/>
      <c r="CP27" s="287"/>
      <c r="CQ27" s="287"/>
      <c r="CR27" s="287"/>
      <c r="CS27" s="287"/>
      <c r="CT27" s="287"/>
    </row>
    <row r="28" spans="1:98" x14ac:dyDescent="0.45">
      <c r="A28" s="144" t="s">
        <v>83</v>
      </c>
      <c r="B28" s="168"/>
      <c r="C28" s="183"/>
      <c r="D28" s="183"/>
      <c r="E28" s="183"/>
      <c r="F28" s="183"/>
      <c r="G28" s="183"/>
      <c r="H28" s="168"/>
      <c r="I28" s="168"/>
      <c r="J28" s="18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row>
    <row r="29" spans="1:98" x14ac:dyDescent="0.45">
      <c r="A29" s="136" t="s">
        <v>377</v>
      </c>
      <c r="B29" s="137">
        <f>Dashboard_3!$H$35*(B15-B10-B11)</f>
        <v>7384</v>
      </c>
      <c r="C29" s="137">
        <f>(1-Dashboard_3!$H$35)*B29</f>
        <v>4430.3999999999996</v>
      </c>
      <c r="D29" s="137">
        <f>(1-Dashboard_3!$H$35)*C29</f>
        <v>2658.24</v>
      </c>
      <c r="E29" s="137">
        <f>(1-Dashboard_3!$H$35)*D29</f>
        <v>1594.9439999999997</v>
      </c>
      <c r="F29" s="137">
        <f>(1-Dashboard_3!$H$35)*E29</f>
        <v>956.96639999999979</v>
      </c>
      <c r="G29" s="137">
        <f>(1-Dashboard_3!$H$35)*F29</f>
        <v>574.1798399999999</v>
      </c>
      <c r="H29" s="137">
        <f>(1-Dashboard_3!$H$35)*G29</f>
        <v>344.50790399999994</v>
      </c>
      <c r="I29" s="137">
        <f>(1-Dashboard_3!$H$35)*H29</f>
        <v>206.70474239999996</v>
      </c>
      <c r="J29" s="137">
        <f>(1-Dashboard_3!$H$35)*I29</f>
        <v>124.02284543999997</v>
      </c>
      <c r="K29" s="137">
        <f>(1-Dashboard_3!$H$35)*J29</f>
        <v>74.413707263999981</v>
      </c>
      <c r="L29" s="168"/>
      <c r="M29" s="168"/>
      <c r="N29" s="168"/>
      <c r="O29" s="168"/>
      <c r="P29" s="188"/>
      <c r="Q29" s="168"/>
      <c r="R29" s="168"/>
      <c r="S29" s="168"/>
      <c r="T29" s="168"/>
      <c r="U29" s="188"/>
      <c r="V29" s="168"/>
      <c r="W29" s="168"/>
      <c r="X29" s="168"/>
      <c r="Y29" s="168"/>
      <c r="Z29" s="188"/>
      <c r="AA29" s="168"/>
      <c r="AB29" s="168"/>
      <c r="AC29" s="168"/>
      <c r="AD29" s="168"/>
      <c r="AE29" s="188"/>
      <c r="AF29" s="188"/>
      <c r="AG29" s="188"/>
      <c r="AH29" s="188"/>
      <c r="AI29" s="188"/>
      <c r="AJ29" s="188"/>
      <c r="AK29" s="188"/>
      <c r="AL29" s="188"/>
      <c r="AM29" s="188"/>
      <c r="AN29" s="188"/>
      <c r="AO29" s="188"/>
      <c r="AP29" s="188"/>
      <c r="AQ29" s="188"/>
      <c r="AR29" s="188"/>
      <c r="AS29" s="188"/>
      <c r="AT29" s="188"/>
      <c r="AU29" s="188"/>
      <c r="AV29" s="188"/>
      <c r="AW29" s="188"/>
      <c r="AX29" s="188"/>
      <c r="AY29" s="188"/>
    </row>
    <row r="30" spans="1:98" x14ac:dyDescent="0.45">
      <c r="A30" s="136" t="s">
        <v>378</v>
      </c>
      <c r="B30" s="137">
        <f>Dashboard_3!$H$36*(B15-B10-B11)</f>
        <v>1292.2</v>
      </c>
      <c r="C30" s="137">
        <f>(1-Dashboard_3!$H$35)*B30</f>
        <v>775.32</v>
      </c>
      <c r="D30" s="137">
        <f>(1-Dashboard_3!$H$35)*C30</f>
        <v>465.19200000000001</v>
      </c>
      <c r="E30" s="137">
        <f>(1-Dashboard_3!$H$35)*D30</f>
        <v>279.11520000000002</v>
      </c>
      <c r="F30" s="137">
        <f>(1-Dashboard_3!$H$35)*E30</f>
        <v>167.46912</v>
      </c>
      <c r="G30" s="137">
        <f>(1-Dashboard_3!$H$35)*F30</f>
        <v>100.481472</v>
      </c>
      <c r="H30" s="137">
        <f>(1-Dashboard_3!$H$35)*G30</f>
        <v>60.288883199999994</v>
      </c>
      <c r="I30" s="137">
        <f>(1-Dashboard_3!$H$35)*H30</f>
        <v>36.173329919999993</v>
      </c>
      <c r="J30" s="137">
        <f>(1-Dashboard_3!$H$35)*I30</f>
        <v>21.703997951999995</v>
      </c>
      <c r="K30" s="137">
        <f>(1-Dashboard_3!$H$35)*J30</f>
        <v>13.022398771199997</v>
      </c>
      <c r="L30" s="168"/>
      <c r="M30" s="168"/>
      <c r="N30" s="168"/>
      <c r="O30" s="168"/>
      <c r="P30" s="183"/>
      <c r="Q30" s="168"/>
      <c r="R30" s="168"/>
      <c r="S30" s="168"/>
      <c r="T30" s="168"/>
      <c r="U30" s="183"/>
      <c r="V30" s="168"/>
      <c r="W30" s="168"/>
      <c r="X30" s="168"/>
      <c r="Y30" s="168"/>
      <c r="Z30" s="183"/>
      <c r="AA30" s="168"/>
      <c r="AB30" s="168"/>
      <c r="AC30" s="168"/>
      <c r="AD30" s="168"/>
      <c r="AE30" s="183"/>
      <c r="AF30" s="183"/>
      <c r="AG30" s="183"/>
      <c r="AH30" s="183"/>
      <c r="AI30" s="183"/>
      <c r="AJ30" s="183"/>
      <c r="AK30" s="183"/>
      <c r="AL30" s="183"/>
      <c r="AM30" s="183"/>
      <c r="AN30" s="183"/>
      <c r="AO30" s="183"/>
      <c r="AP30" s="183"/>
      <c r="AQ30" s="183"/>
      <c r="AR30" s="183"/>
      <c r="AS30" s="183"/>
      <c r="AT30" s="183"/>
      <c r="AU30" s="183"/>
      <c r="AV30" s="183"/>
      <c r="AW30" s="183"/>
      <c r="AX30" s="183"/>
      <c r="AY30" s="183"/>
    </row>
    <row r="31" spans="1:98" x14ac:dyDescent="0.45">
      <c r="A31" s="136" t="s">
        <v>115</v>
      </c>
      <c r="B31" s="137">
        <f>B29-B30</f>
        <v>6091.8</v>
      </c>
      <c r="C31" s="137">
        <f>C29-C30</f>
        <v>3655.0799999999995</v>
      </c>
      <c r="D31" s="137">
        <f t="shared" ref="D31:AY31" si="8">D29-D30</f>
        <v>2193.0479999999998</v>
      </c>
      <c r="E31" s="137">
        <f t="shared" si="8"/>
        <v>1315.8287999999998</v>
      </c>
      <c r="F31" s="137">
        <f t="shared" si="8"/>
        <v>789.49727999999982</v>
      </c>
      <c r="G31" s="137">
        <f t="shared" si="8"/>
        <v>473.6983679999999</v>
      </c>
      <c r="H31" s="137">
        <f t="shared" si="8"/>
        <v>284.21902079999995</v>
      </c>
      <c r="I31" s="137">
        <f t="shared" si="8"/>
        <v>170.53141247999997</v>
      </c>
      <c r="J31" s="137">
        <f t="shared" si="8"/>
        <v>102.31884748799997</v>
      </c>
      <c r="K31" s="137">
        <f t="shared" si="8"/>
        <v>61.391308492799986</v>
      </c>
      <c r="L31" s="137">
        <f t="shared" si="8"/>
        <v>0</v>
      </c>
      <c r="M31" s="137">
        <f t="shared" si="8"/>
        <v>0</v>
      </c>
      <c r="N31" s="137">
        <f t="shared" si="8"/>
        <v>0</v>
      </c>
      <c r="O31" s="137">
        <f t="shared" si="8"/>
        <v>0</v>
      </c>
      <c r="P31" s="137">
        <f t="shared" si="8"/>
        <v>0</v>
      </c>
      <c r="Q31" s="137">
        <f t="shared" si="8"/>
        <v>0</v>
      </c>
      <c r="R31" s="137">
        <f t="shared" si="8"/>
        <v>0</v>
      </c>
      <c r="S31" s="137">
        <f t="shared" si="8"/>
        <v>0</v>
      </c>
      <c r="T31" s="137">
        <f t="shared" si="8"/>
        <v>0</v>
      </c>
      <c r="U31" s="137">
        <f t="shared" si="8"/>
        <v>0</v>
      </c>
      <c r="V31" s="137">
        <f t="shared" si="8"/>
        <v>0</v>
      </c>
      <c r="W31" s="137">
        <f t="shared" si="8"/>
        <v>0</v>
      </c>
      <c r="X31" s="137">
        <f t="shared" si="8"/>
        <v>0</v>
      </c>
      <c r="Y31" s="137">
        <f t="shared" si="8"/>
        <v>0</v>
      </c>
      <c r="Z31" s="137">
        <f t="shared" si="8"/>
        <v>0</v>
      </c>
      <c r="AA31" s="137">
        <f t="shared" si="8"/>
        <v>0</v>
      </c>
      <c r="AB31" s="137">
        <f t="shared" si="8"/>
        <v>0</v>
      </c>
      <c r="AC31" s="137">
        <f t="shared" si="8"/>
        <v>0</v>
      </c>
      <c r="AD31" s="137">
        <f t="shared" si="8"/>
        <v>0</v>
      </c>
      <c r="AE31" s="137">
        <f t="shared" si="8"/>
        <v>0</v>
      </c>
      <c r="AF31" s="137">
        <f t="shared" si="8"/>
        <v>0</v>
      </c>
      <c r="AG31" s="137">
        <f t="shared" si="8"/>
        <v>0</v>
      </c>
      <c r="AH31" s="137">
        <f t="shared" si="8"/>
        <v>0</v>
      </c>
      <c r="AI31" s="137">
        <f t="shared" si="8"/>
        <v>0</v>
      </c>
      <c r="AJ31" s="137">
        <f t="shared" si="8"/>
        <v>0</v>
      </c>
      <c r="AK31" s="137">
        <f t="shared" si="8"/>
        <v>0</v>
      </c>
      <c r="AL31" s="137">
        <f t="shared" si="8"/>
        <v>0</v>
      </c>
      <c r="AM31" s="137">
        <f t="shared" si="8"/>
        <v>0</v>
      </c>
      <c r="AN31" s="137">
        <f t="shared" si="8"/>
        <v>0</v>
      </c>
      <c r="AO31" s="137">
        <f t="shared" si="8"/>
        <v>0</v>
      </c>
      <c r="AP31" s="137">
        <f t="shared" si="8"/>
        <v>0</v>
      </c>
      <c r="AQ31" s="137">
        <f t="shared" si="8"/>
        <v>0</v>
      </c>
      <c r="AR31" s="137">
        <f t="shared" si="8"/>
        <v>0</v>
      </c>
      <c r="AS31" s="137">
        <f t="shared" si="8"/>
        <v>0</v>
      </c>
      <c r="AT31" s="137">
        <f t="shared" si="8"/>
        <v>0</v>
      </c>
      <c r="AU31" s="137">
        <f t="shared" si="8"/>
        <v>0</v>
      </c>
      <c r="AV31" s="137">
        <f t="shared" si="8"/>
        <v>0</v>
      </c>
      <c r="AW31" s="137">
        <f t="shared" si="8"/>
        <v>0</v>
      </c>
      <c r="AX31" s="137">
        <f t="shared" si="8"/>
        <v>0</v>
      </c>
      <c r="AY31" s="137">
        <f t="shared" si="8"/>
        <v>0</v>
      </c>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row>
    <row r="32" spans="1:98" x14ac:dyDescent="0.45">
      <c r="A32" s="136" t="s">
        <v>382</v>
      </c>
      <c r="B32" s="302">
        <f>Dashboard_3!$H$37*(B15-B10-B11)</f>
        <v>369.2</v>
      </c>
      <c r="C32" s="302">
        <f>B32</f>
        <v>369.2</v>
      </c>
      <c r="D32" s="302">
        <f t="shared" ref="D32:AY32" si="9">C32</f>
        <v>369.2</v>
      </c>
      <c r="E32" s="302">
        <f t="shared" si="9"/>
        <v>369.2</v>
      </c>
      <c r="F32" s="302">
        <f t="shared" si="9"/>
        <v>369.2</v>
      </c>
      <c r="G32" s="302">
        <f t="shared" si="9"/>
        <v>369.2</v>
      </c>
      <c r="H32" s="302">
        <f t="shared" si="9"/>
        <v>369.2</v>
      </c>
      <c r="I32" s="302">
        <f t="shared" si="9"/>
        <v>369.2</v>
      </c>
      <c r="J32" s="302">
        <f t="shared" si="9"/>
        <v>369.2</v>
      </c>
      <c r="K32" s="302">
        <f t="shared" si="9"/>
        <v>369.2</v>
      </c>
      <c r="L32" s="302">
        <f t="shared" si="9"/>
        <v>369.2</v>
      </c>
      <c r="M32" s="302">
        <f t="shared" si="9"/>
        <v>369.2</v>
      </c>
      <c r="N32" s="302">
        <f t="shared" si="9"/>
        <v>369.2</v>
      </c>
      <c r="O32" s="302">
        <f t="shared" si="9"/>
        <v>369.2</v>
      </c>
      <c r="P32" s="302">
        <f t="shared" si="9"/>
        <v>369.2</v>
      </c>
      <c r="Q32" s="302">
        <f t="shared" si="9"/>
        <v>369.2</v>
      </c>
      <c r="R32" s="302">
        <f t="shared" si="9"/>
        <v>369.2</v>
      </c>
      <c r="S32" s="302">
        <f t="shared" si="9"/>
        <v>369.2</v>
      </c>
      <c r="T32" s="302">
        <f t="shared" si="9"/>
        <v>369.2</v>
      </c>
      <c r="U32" s="302">
        <f t="shared" si="9"/>
        <v>369.2</v>
      </c>
      <c r="V32" s="302">
        <f t="shared" si="9"/>
        <v>369.2</v>
      </c>
      <c r="W32" s="302">
        <f t="shared" si="9"/>
        <v>369.2</v>
      </c>
      <c r="X32" s="302">
        <f t="shared" si="9"/>
        <v>369.2</v>
      </c>
      <c r="Y32" s="302">
        <f t="shared" si="9"/>
        <v>369.2</v>
      </c>
      <c r="Z32" s="302">
        <f t="shared" si="9"/>
        <v>369.2</v>
      </c>
      <c r="AA32" s="302">
        <f t="shared" si="9"/>
        <v>369.2</v>
      </c>
      <c r="AB32" s="302">
        <f t="shared" si="9"/>
        <v>369.2</v>
      </c>
      <c r="AC32" s="302">
        <f t="shared" si="9"/>
        <v>369.2</v>
      </c>
      <c r="AD32" s="302">
        <f t="shared" si="9"/>
        <v>369.2</v>
      </c>
      <c r="AE32" s="302">
        <f t="shared" si="9"/>
        <v>369.2</v>
      </c>
      <c r="AF32" s="302">
        <f t="shared" si="9"/>
        <v>369.2</v>
      </c>
      <c r="AG32" s="302">
        <f t="shared" si="9"/>
        <v>369.2</v>
      </c>
      <c r="AH32" s="302">
        <f t="shared" si="9"/>
        <v>369.2</v>
      </c>
      <c r="AI32" s="302">
        <f t="shared" si="9"/>
        <v>369.2</v>
      </c>
      <c r="AJ32" s="302">
        <f t="shared" si="9"/>
        <v>369.2</v>
      </c>
      <c r="AK32" s="302">
        <f t="shared" si="9"/>
        <v>369.2</v>
      </c>
      <c r="AL32" s="302">
        <f t="shared" si="9"/>
        <v>369.2</v>
      </c>
      <c r="AM32" s="302">
        <f t="shared" si="9"/>
        <v>369.2</v>
      </c>
      <c r="AN32" s="302">
        <f t="shared" si="9"/>
        <v>369.2</v>
      </c>
      <c r="AO32" s="302">
        <f t="shared" si="9"/>
        <v>369.2</v>
      </c>
      <c r="AP32" s="302">
        <f t="shared" si="9"/>
        <v>369.2</v>
      </c>
      <c r="AQ32" s="302">
        <f t="shared" si="9"/>
        <v>369.2</v>
      </c>
      <c r="AR32" s="302">
        <f t="shared" si="9"/>
        <v>369.2</v>
      </c>
      <c r="AS32" s="302">
        <f t="shared" si="9"/>
        <v>369.2</v>
      </c>
      <c r="AT32" s="302">
        <f t="shared" si="9"/>
        <v>369.2</v>
      </c>
      <c r="AU32" s="302">
        <f t="shared" si="9"/>
        <v>369.2</v>
      </c>
      <c r="AV32" s="302">
        <f t="shared" si="9"/>
        <v>369.2</v>
      </c>
      <c r="AW32" s="302">
        <f t="shared" si="9"/>
        <v>369.2</v>
      </c>
      <c r="AX32" s="302">
        <f t="shared" si="9"/>
        <v>369.2</v>
      </c>
      <c r="AY32" s="302">
        <f t="shared" si="9"/>
        <v>369.2</v>
      </c>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row>
    <row r="33" spans="1:98" x14ac:dyDescent="0.45">
      <c r="A33" s="136" t="s">
        <v>383</v>
      </c>
      <c r="B33" s="302">
        <f>Dashboard_3!$H$38*(B15-B10-B11)</f>
        <v>369.2</v>
      </c>
      <c r="C33" s="302">
        <f>B33</f>
        <v>369.2</v>
      </c>
      <c r="D33" s="302">
        <f t="shared" ref="D33:AY33" si="10">C33</f>
        <v>369.2</v>
      </c>
      <c r="E33" s="302">
        <f t="shared" si="10"/>
        <v>369.2</v>
      </c>
      <c r="F33" s="302">
        <f t="shared" si="10"/>
        <v>369.2</v>
      </c>
      <c r="G33" s="302">
        <f t="shared" si="10"/>
        <v>369.2</v>
      </c>
      <c r="H33" s="302">
        <f t="shared" si="10"/>
        <v>369.2</v>
      </c>
      <c r="I33" s="302">
        <f t="shared" si="10"/>
        <v>369.2</v>
      </c>
      <c r="J33" s="302">
        <f t="shared" si="10"/>
        <v>369.2</v>
      </c>
      <c r="K33" s="302">
        <f t="shared" si="10"/>
        <v>369.2</v>
      </c>
      <c r="L33" s="302">
        <f t="shared" si="10"/>
        <v>369.2</v>
      </c>
      <c r="M33" s="302">
        <f t="shared" si="10"/>
        <v>369.2</v>
      </c>
      <c r="N33" s="302">
        <f t="shared" si="10"/>
        <v>369.2</v>
      </c>
      <c r="O33" s="302">
        <f t="shared" si="10"/>
        <v>369.2</v>
      </c>
      <c r="P33" s="302">
        <f t="shared" si="10"/>
        <v>369.2</v>
      </c>
      <c r="Q33" s="302">
        <f t="shared" si="10"/>
        <v>369.2</v>
      </c>
      <c r="R33" s="302">
        <f t="shared" si="10"/>
        <v>369.2</v>
      </c>
      <c r="S33" s="302">
        <f t="shared" si="10"/>
        <v>369.2</v>
      </c>
      <c r="T33" s="302">
        <f t="shared" si="10"/>
        <v>369.2</v>
      </c>
      <c r="U33" s="302">
        <f t="shared" si="10"/>
        <v>369.2</v>
      </c>
      <c r="V33" s="302">
        <f t="shared" si="10"/>
        <v>369.2</v>
      </c>
      <c r="W33" s="302">
        <f t="shared" si="10"/>
        <v>369.2</v>
      </c>
      <c r="X33" s="302">
        <f t="shared" si="10"/>
        <v>369.2</v>
      </c>
      <c r="Y33" s="302">
        <f t="shared" si="10"/>
        <v>369.2</v>
      </c>
      <c r="Z33" s="302">
        <f t="shared" si="10"/>
        <v>369.2</v>
      </c>
      <c r="AA33" s="302">
        <f t="shared" si="10"/>
        <v>369.2</v>
      </c>
      <c r="AB33" s="302">
        <f t="shared" si="10"/>
        <v>369.2</v>
      </c>
      <c r="AC33" s="302">
        <f t="shared" si="10"/>
        <v>369.2</v>
      </c>
      <c r="AD33" s="302">
        <f t="shared" si="10"/>
        <v>369.2</v>
      </c>
      <c r="AE33" s="302">
        <f t="shared" si="10"/>
        <v>369.2</v>
      </c>
      <c r="AF33" s="302">
        <f t="shared" si="10"/>
        <v>369.2</v>
      </c>
      <c r="AG33" s="302">
        <f t="shared" si="10"/>
        <v>369.2</v>
      </c>
      <c r="AH33" s="302">
        <f t="shared" si="10"/>
        <v>369.2</v>
      </c>
      <c r="AI33" s="302">
        <f t="shared" si="10"/>
        <v>369.2</v>
      </c>
      <c r="AJ33" s="302">
        <f t="shared" si="10"/>
        <v>369.2</v>
      </c>
      <c r="AK33" s="302">
        <f t="shared" si="10"/>
        <v>369.2</v>
      </c>
      <c r="AL33" s="302">
        <f t="shared" si="10"/>
        <v>369.2</v>
      </c>
      <c r="AM33" s="302">
        <f t="shared" si="10"/>
        <v>369.2</v>
      </c>
      <c r="AN33" s="302">
        <f t="shared" si="10"/>
        <v>369.2</v>
      </c>
      <c r="AO33" s="302">
        <f t="shared" si="10"/>
        <v>369.2</v>
      </c>
      <c r="AP33" s="302">
        <f t="shared" si="10"/>
        <v>369.2</v>
      </c>
      <c r="AQ33" s="302">
        <f t="shared" si="10"/>
        <v>369.2</v>
      </c>
      <c r="AR33" s="302">
        <f t="shared" si="10"/>
        <v>369.2</v>
      </c>
      <c r="AS33" s="302">
        <f t="shared" si="10"/>
        <v>369.2</v>
      </c>
      <c r="AT33" s="302">
        <f t="shared" si="10"/>
        <v>369.2</v>
      </c>
      <c r="AU33" s="302">
        <f t="shared" si="10"/>
        <v>369.2</v>
      </c>
      <c r="AV33" s="302">
        <f t="shared" si="10"/>
        <v>369.2</v>
      </c>
      <c r="AW33" s="302">
        <f t="shared" si="10"/>
        <v>369.2</v>
      </c>
      <c r="AX33" s="302">
        <f t="shared" si="10"/>
        <v>369.2</v>
      </c>
      <c r="AY33" s="302">
        <f t="shared" si="10"/>
        <v>369.2</v>
      </c>
    </row>
    <row r="34" spans="1:98" x14ac:dyDescent="0.45">
      <c r="A34" s="198" t="s">
        <v>84</v>
      </c>
      <c r="B34" s="354">
        <f>(B29-B31)+B32+B33</f>
        <v>2030.6</v>
      </c>
      <c r="C34" s="354">
        <f t="shared" ref="C34:AY34" si="11">(C29-C31)+C32+C33</f>
        <v>1513.7200000000003</v>
      </c>
      <c r="D34" s="354">
        <f t="shared" si="11"/>
        <v>1203.5920000000001</v>
      </c>
      <c r="E34" s="354">
        <f t="shared" si="11"/>
        <v>1017.5152</v>
      </c>
      <c r="F34" s="354">
        <f t="shared" si="11"/>
        <v>905.86912000000007</v>
      </c>
      <c r="G34" s="354">
        <f t="shared" si="11"/>
        <v>838.88147200000003</v>
      </c>
      <c r="H34" s="354">
        <f t="shared" si="11"/>
        <v>798.68888319999996</v>
      </c>
      <c r="I34" s="354">
        <f t="shared" si="11"/>
        <v>774.57332991999988</v>
      </c>
      <c r="J34" s="354">
        <f t="shared" si="11"/>
        <v>760.10399795199999</v>
      </c>
      <c r="K34" s="354">
        <f t="shared" si="11"/>
        <v>751.42239877120005</v>
      </c>
      <c r="L34" s="354">
        <f t="shared" si="11"/>
        <v>738.4</v>
      </c>
      <c r="M34" s="354">
        <f t="shared" si="11"/>
        <v>738.4</v>
      </c>
      <c r="N34" s="354">
        <f t="shared" si="11"/>
        <v>738.4</v>
      </c>
      <c r="O34" s="354">
        <f t="shared" si="11"/>
        <v>738.4</v>
      </c>
      <c r="P34" s="354">
        <f t="shared" si="11"/>
        <v>738.4</v>
      </c>
      <c r="Q34" s="354">
        <f t="shared" si="11"/>
        <v>738.4</v>
      </c>
      <c r="R34" s="354">
        <f t="shared" si="11"/>
        <v>738.4</v>
      </c>
      <c r="S34" s="354">
        <f t="shared" si="11"/>
        <v>738.4</v>
      </c>
      <c r="T34" s="354">
        <f t="shared" si="11"/>
        <v>738.4</v>
      </c>
      <c r="U34" s="354">
        <f t="shared" si="11"/>
        <v>738.4</v>
      </c>
      <c r="V34" s="354">
        <f t="shared" si="11"/>
        <v>738.4</v>
      </c>
      <c r="W34" s="354">
        <f t="shared" si="11"/>
        <v>738.4</v>
      </c>
      <c r="X34" s="354">
        <f t="shared" si="11"/>
        <v>738.4</v>
      </c>
      <c r="Y34" s="354">
        <f t="shared" si="11"/>
        <v>738.4</v>
      </c>
      <c r="Z34" s="354">
        <f t="shared" si="11"/>
        <v>738.4</v>
      </c>
      <c r="AA34" s="354">
        <f t="shared" si="11"/>
        <v>738.4</v>
      </c>
      <c r="AB34" s="354">
        <f t="shared" si="11"/>
        <v>738.4</v>
      </c>
      <c r="AC34" s="354">
        <f t="shared" si="11"/>
        <v>738.4</v>
      </c>
      <c r="AD34" s="354">
        <f t="shared" si="11"/>
        <v>738.4</v>
      </c>
      <c r="AE34" s="354">
        <f t="shared" si="11"/>
        <v>738.4</v>
      </c>
      <c r="AF34" s="354">
        <f t="shared" si="11"/>
        <v>738.4</v>
      </c>
      <c r="AG34" s="354">
        <f t="shared" si="11"/>
        <v>738.4</v>
      </c>
      <c r="AH34" s="354">
        <f t="shared" si="11"/>
        <v>738.4</v>
      </c>
      <c r="AI34" s="354">
        <f t="shared" si="11"/>
        <v>738.4</v>
      </c>
      <c r="AJ34" s="354">
        <f t="shared" si="11"/>
        <v>738.4</v>
      </c>
      <c r="AK34" s="354">
        <f t="shared" si="11"/>
        <v>738.4</v>
      </c>
      <c r="AL34" s="354">
        <f t="shared" si="11"/>
        <v>738.4</v>
      </c>
      <c r="AM34" s="354">
        <f t="shared" si="11"/>
        <v>738.4</v>
      </c>
      <c r="AN34" s="354">
        <f t="shared" si="11"/>
        <v>738.4</v>
      </c>
      <c r="AO34" s="354">
        <f t="shared" si="11"/>
        <v>738.4</v>
      </c>
      <c r="AP34" s="354">
        <f t="shared" si="11"/>
        <v>738.4</v>
      </c>
      <c r="AQ34" s="354">
        <f t="shared" si="11"/>
        <v>738.4</v>
      </c>
      <c r="AR34" s="354">
        <f t="shared" si="11"/>
        <v>738.4</v>
      </c>
      <c r="AS34" s="354">
        <f t="shared" si="11"/>
        <v>738.4</v>
      </c>
      <c r="AT34" s="354">
        <f t="shared" si="11"/>
        <v>738.4</v>
      </c>
      <c r="AU34" s="354">
        <f t="shared" si="11"/>
        <v>738.4</v>
      </c>
      <c r="AV34" s="354">
        <f t="shared" si="11"/>
        <v>738.4</v>
      </c>
      <c r="AW34" s="354">
        <f t="shared" si="11"/>
        <v>738.4</v>
      </c>
      <c r="AX34" s="354">
        <f t="shared" si="11"/>
        <v>738.4</v>
      </c>
      <c r="AY34" s="354">
        <f t="shared" si="11"/>
        <v>738.4</v>
      </c>
    </row>
    <row r="35" spans="1:98" x14ac:dyDescent="0.45">
      <c r="A35" s="143"/>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row>
    <row r="36" spans="1:98" s="246" customFormat="1" ht="14.65" thickBot="1" x14ac:dyDescent="0.5">
      <c r="A36" s="150" t="s">
        <v>119</v>
      </c>
      <c r="B36" s="151">
        <f>SUM(B15,B34,B34)</f>
        <v>22521.199999999997</v>
      </c>
      <c r="C36" s="151">
        <f t="shared" ref="C36:AY36" si="12">SUM(C15,C25,C34)</f>
        <v>2488.6229228115003</v>
      </c>
      <c r="D36" s="151">
        <f t="shared" si="12"/>
        <v>2178.4949228115001</v>
      </c>
      <c r="E36" s="151">
        <f t="shared" si="12"/>
        <v>1992.4181228114999</v>
      </c>
      <c r="F36" s="151">
        <f t="shared" si="12"/>
        <v>1880.7720428114999</v>
      </c>
      <c r="G36" s="151">
        <f t="shared" si="12"/>
        <v>1813.7843948115001</v>
      </c>
      <c r="H36" s="151">
        <f t="shared" si="12"/>
        <v>1773.5918060115</v>
      </c>
      <c r="I36" s="151">
        <f t="shared" si="12"/>
        <v>1749.4762527314997</v>
      </c>
      <c r="J36" s="151">
        <f t="shared" si="12"/>
        <v>1735.0069207634999</v>
      </c>
      <c r="K36" s="151">
        <f t="shared" si="12"/>
        <v>1208.7088274142</v>
      </c>
      <c r="L36" s="151">
        <f t="shared" si="12"/>
        <v>875.686428643</v>
      </c>
      <c r="M36" s="151">
        <f t="shared" si="12"/>
        <v>875.686428643</v>
      </c>
      <c r="N36" s="151">
        <f t="shared" si="12"/>
        <v>875.686428643</v>
      </c>
      <c r="O36" s="151">
        <f t="shared" si="12"/>
        <v>875.686428643</v>
      </c>
      <c r="P36" s="151">
        <f t="shared" si="12"/>
        <v>875.686428643</v>
      </c>
      <c r="Q36" s="151">
        <f t="shared" si="12"/>
        <v>875.686428643</v>
      </c>
      <c r="R36" s="151">
        <f t="shared" si="12"/>
        <v>875.686428643</v>
      </c>
      <c r="S36" s="151">
        <f t="shared" si="12"/>
        <v>875.686428643</v>
      </c>
      <c r="T36" s="151">
        <f t="shared" si="12"/>
        <v>875.686428643</v>
      </c>
      <c r="U36" s="151">
        <f t="shared" si="12"/>
        <v>875.686428643</v>
      </c>
      <c r="V36" s="151">
        <f t="shared" si="12"/>
        <v>875.686428643</v>
      </c>
      <c r="W36" s="151">
        <f t="shared" si="12"/>
        <v>875.686428643</v>
      </c>
      <c r="X36" s="151">
        <f t="shared" si="12"/>
        <v>875.686428643</v>
      </c>
      <c r="Y36" s="151">
        <f t="shared" si="12"/>
        <v>875.686428643</v>
      </c>
      <c r="Z36" s="151">
        <f t="shared" si="12"/>
        <v>875.686428643</v>
      </c>
      <c r="AA36" s="151">
        <f t="shared" si="12"/>
        <v>875.686428643</v>
      </c>
      <c r="AB36" s="151">
        <f>SUM(AB15,AB34,AB34)</f>
        <v>1476.8</v>
      </c>
      <c r="AC36" s="151">
        <f t="shared" si="12"/>
        <v>875.686428643</v>
      </c>
      <c r="AD36" s="151">
        <f t="shared" si="12"/>
        <v>875.686428643</v>
      </c>
      <c r="AE36" s="151">
        <f t="shared" si="12"/>
        <v>875.686428643</v>
      </c>
      <c r="AF36" s="151">
        <f t="shared" si="12"/>
        <v>875.686428643</v>
      </c>
      <c r="AG36" s="151">
        <f t="shared" si="12"/>
        <v>875.686428643</v>
      </c>
      <c r="AH36" s="151">
        <f t="shared" si="12"/>
        <v>875.686428643</v>
      </c>
      <c r="AI36" s="151">
        <f t="shared" si="12"/>
        <v>875.686428643</v>
      </c>
      <c r="AJ36" s="151">
        <f t="shared" si="12"/>
        <v>875.686428643</v>
      </c>
      <c r="AK36" s="151">
        <f t="shared" si="12"/>
        <v>875.686428643</v>
      </c>
      <c r="AL36" s="151">
        <f t="shared" si="12"/>
        <v>875.686428643</v>
      </c>
      <c r="AM36" s="151">
        <f t="shared" si="12"/>
        <v>875.686428643</v>
      </c>
      <c r="AN36" s="151">
        <f t="shared" si="12"/>
        <v>875.686428643</v>
      </c>
      <c r="AO36" s="151">
        <f t="shared" si="12"/>
        <v>875.686428643</v>
      </c>
      <c r="AP36" s="151">
        <f t="shared" si="12"/>
        <v>875.686428643</v>
      </c>
      <c r="AQ36" s="151">
        <f t="shared" si="12"/>
        <v>875.686428643</v>
      </c>
      <c r="AR36" s="151">
        <f t="shared" si="12"/>
        <v>875.686428643</v>
      </c>
      <c r="AS36" s="151">
        <f t="shared" si="12"/>
        <v>875.686428643</v>
      </c>
      <c r="AT36" s="151">
        <f t="shared" si="12"/>
        <v>875.686428643</v>
      </c>
      <c r="AU36" s="151">
        <f t="shared" si="12"/>
        <v>875.686428643</v>
      </c>
      <c r="AV36" s="151">
        <f t="shared" si="12"/>
        <v>875.686428643</v>
      </c>
      <c r="AW36" s="151">
        <f t="shared" si="12"/>
        <v>875.686428643</v>
      </c>
      <c r="AX36" s="151">
        <f t="shared" si="12"/>
        <v>875.686428643</v>
      </c>
      <c r="AY36" s="151">
        <f t="shared" si="12"/>
        <v>875.686428643</v>
      </c>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row>
    <row r="37" spans="1:98" s="246" customFormat="1" x14ac:dyDescent="0.45">
      <c r="A37" s="198"/>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row>
    <row r="38" spans="1:98" x14ac:dyDescent="0.45">
      <c r="A38" s="198"/>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row>
    <row r="39" spans="1:98" x14ac:dyDescent="0.45">
      <c r="A39" s="45" t="s">
        <v>113</v>
      </c>
      <c r="B39" s="219" t="s">
        <v>85</v>
      </c>
      <c r="C39" s="219" t="s">
        <v>85</v>
      </c>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row>
    <row r="40" spans="1:98" x14ac:dyDescent="0.45">
      <c r="A40" s="293"/>
      <c r="B40" s="149" t="s">
        <v>91</v>
      </c>
      <c r="C40" s="149" t="s">
        <v>92</v>
      </c>
      <c r="D40" s="136"/>
      <c r="E40" s="285"/>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row>
    <row r="41" spans="1:98" x14ac:dyDescent="0.45">
      <c r="A41" t="s">
        <v>86</v>
      </c>
      <c r="B41" s="301">
        <f>IF(Dashboard_3!H42=Data_Lists!B11,B15+NPV(Dashboard_1!$H$57,Model_1!C16:F16),IF(Dashboard_3!H42=Data_Lists!B12,B15+NPV(Dashboard_3!$H$57,C15:K15),IF(Dashboard_3!H42=Data_Lists!B13,B15+NPV(Dashboard_3!$H$57,C15:U15),IF(Dashboard_3!H42=Data_Lists!B14,B15+NPV(Dashboard_3!$H$57,C15:AE15),IF(Dashboard_3!H42=Data_Lists!B15,B15+NPV(Dashboard_3!$H$57,C15:AO15),IF(Dashboard_3!H42=Data_Lists!B16,B15+NPV(Dashboard_3!$H$57,C15:AY15)))))))</f>
        <v>21340</v>
      </c>
      <c r="C41" s="300">
        <f>B41/$B$44</f>
        <v>0.6753709491352522</v>
      </c>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row>
    <row r="42" spans="1:98" x14ac:dyDescent="0.45">
      <c r="A42" t="s">
        <v>296</v>
      </c>
      <c r="B42" s="301">
        <f>IF(Dashboard_3!H42=Data_Lists!B11,B25+NPV(Dashboard_3!$H$57,Model_1!C24:F24),IF(Dashboard_3!H42=Data_Lists!B12,B25+NPV(Dashboard_3!$H$42,C25:K25),IF(Dashboard_3!H42=Data_Lists!B13,B25+NPV(Dashboard_3!$H$42,C25:U25),IF(Dashboard_3!H42=Data_Lists!B14,B25+NPV(Dashboard_3!$H$42,C25:AE25),IF(Dashboard_3!H42=Data_Lists!B15,B25+NPV(Dashboard_3!$H$42,C25:AO25),IF(Dashboard_3!H42=Data_Lists!B16,B25+NPV(Dashboard_3!$H$42,C25:AY25)))))))</f>
        <v>8176.7330202385292</v>
      </c>
      <c r="C42" s="300">
        <f t="shared" ref="C42:C43" si="13">B42/$B$44</f>
        <v>0.25877825401612242</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row>
    <row r="43" spans="1:98" x14ac:dyDescent="0.45">
      <c r="A43" t="s">
        <v>88</v>
      </c>
      <c r="B43" s="301">
        <f>IF(Dashboard_3!H42=Data_Lists!B11,B34+NPV(Dashboard_3!$H$57,C34:F34),IF(Dashboard_3!H42=Data_Lists!B12,B34+NPV(Dashboard_3!$H$42,C34:K34),IF(Dashboard_3!H42=Data_Lists!B13,B34+NPV(Dashboard_3!$H$42,C34:U34),IF(Dashboard_3!H42=Data_Lists!B14,B34+NPV(Dashboard_3!$H$42,C34:AE34),IF(Dashboard_3!H42=Data_Lists!B15,B34+NPV(Dashboard_3!$H$42,C34:AO34),IF(Dashboard_3!H42=Data_Lists!B16,B34+NPV(Dashboard_3!$H$42,C34:AY34)))))))</f>
        <v>2080.7172807017541</v>
      </c>
      <c r="C43" s="300">
        <f t="shared" si="13"/>
        <v>6.585079684862534E-2</v>
      </c>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row>
    <row r="44" spans="1:98" ht="14.65" thickBot="1" x14ac:dyDescent="0.5">
      <c r="A44" s="43" t="s">
        <v>114</v>
      </c>
      <c r="B44" s="221">
        <f>SUM(B41:B43)</f>
        <v>31597.450300940283</v>
      </c>
      <c r="C44" s="299">
        <f>SUM(C41:C43)</f>
        <v>1</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row>
    <row r="45" spans="1:98" x14ac:dyDescent="0.45">
      <c r="A45" s="297"/>
      <c r="B45" s="62"/>
      <c r="C45" s="298"/>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row>
    <row r="46" spans="1:98" x14ac:dyDescent="0.45">
      <c r="A46" s="105" t="s">
        <v>381</v>
      </c>
      <c r="B46" s="246">
        <v>0</v>
      </c>
      <c r="C46" s="246">
        <f>B46+1</f>
        <v>1</v>
      </c>
      <c r="D46" s="136">
        <f t="shared" ref="D46:AY46" si="14">C46+1</f>
        <v>2</v>
      </c>
      <c r="E46" s="136">
        <f t="shared" si="14"/>
        <v>3</v>
      </c>
      <c r="F46" s="136">
        <f t="shared" si="14"/>
        <v>4</v>
      </c>
      <c r="G46" s="136">
        <f t="shared" si="14"/>
        <v>5</v>
      </c>
      <c r="H46" s="136">
        <f t="shared" si="14"/>
        <v>6</v>
      </c>
      <c r="I46" s="136">
        <f t="shared" si="14"/>
        <v>7</v>
      </c>
      <c r="J46" s="136">
        <f t="shared" si="14"/>
        <v>8</v>
      </c>
      <c r="K46" s="136">
        <f t="shared" si="14"/>
        <v>9</v>
      </c>
      <c r="L46" s="136">
        <f t="shared" si="14"/>
        <v>10</v>
      </c>
      <c r="M46" s="136">
        <f t="shared" si="14"/>
        <v>11</v>
      </c>
      <c r="N46" s="136">
        <f t="shared" si="14"/>
        <v>12</v>
      </c>
      <c r="O46" s="136">
        <f t="shared" si="14"/>
        <v>13</v>
      </c>
      <c r="P46" s="136">
        <f t="shared" si="14"/>
        <v>14</v>
      </c>
      <c r="Q46" s="136">
        <f t="shared" si="14"/>
        <v>15</v>
      </c>
      <c r="R46" s="136">
        <f t="shared" si="14"/>
        <v>16</v>
      </c>
      <c r="S46" s="136">
        <f t="shared" si="14"/>
        <v>17</v>
      </c>
      <c r="T46" s="136">
        <f t="shared" si="14"/>
        <v>18</v>
      </c>
      <c r="U46" s="136">
        <f t="shared" si="14"/>
        <v>19</v>
      </c>
      <c r="V46" s="136">
        <f t="shared" si="14"/>
        <v>20</v>
      </c>
      <c r="W46" s="136">
        <f t="shared" si="14"/>
        <v>21</v>
      </c>
      <c r="X46" s="136">
        <f t="shared" si="14"/>
        <v>22</v>
      </c>
      <c r="Y46" s="136">
        <f t="shared" si="14"/>
        <v>23</v>
      </c>
      <c r="Z46" s="136">
        <f t="shared" si="14"/>
        <v>24</v>
      </c>
      <c r="AA46" s="136">
        <f t="shared" si="14"/>
        <v>25</v>
      </c>
      <c r="AB46" s="136">
        <f t="shared" si="14"/>
        <v>26</v>
      </c>
      <c r="AC46" s="136">
        <f t="shared" si="14"/>
        <v>27</v>
      </c>
      <c r="AD46" s="136">
        <f t="shared" si="14"/>
        <v>28</v>
      </c>
      <c r="AE46" s="136">
        <f t="shared" si="14"/>
        <v>29</v>
      </c>
      <c r="AF46" s="136">
        <f t="shared" si="14"/>
        <v>30</v>
      </c>
      <c r="AG46" s="136">
        <f t="shared" si="14"/>
        <v>31</v>
      </c>
      <c r="AH46" s="136">
        <f t="shared" si="14"/>
        <v>32</v>
      </c>
      <c r="AI46" s="136">
        <f t="shared" si="14"/>
        <v>33</v>
      </c>
      <c r="AJ46" s="136">
        <f t="shared" si="14"/>
        <v>34</v>
      </c>
      <c r="AK46" s="136">
        <f t="shared" si="14"/>
        <v>35</v>
      </c>
      <c r="AL46" s="136">
        <f t="shared" si="14"/>
        <v>36</v>
      </c>
      <c r="AM46" s="136">
        <f t="shared" si="14"/>
        <v>37</v>
      </c>
      <c r="AN46" s="136">
        <f t="shared" si="14"/>
        <v>38</v>
      </c>
      <c r="AO46" s="136">
        <f t="shared" si="14"/>
        <v>39</v>
      </c>
      <c r="AP46" s="136">
        <f t="shared" si="14"/>
        <v>40</v>
      </c>
      <c r="AQ46" s="136">
        <f t="shared" si="14"/>
        <v>41</v>
      </c>
      <c r="AR46" s="136">
        <f t="shared" si="14"/>
        <v>42</v>
      </c>
      <c r="AS46" s="136">
        <f t="shared" si="14"/>
        <v>43</v>
      </c>
      <c r="AT46" s="136">
        <f t="shared" si="14"/>
        <v>44</v>
      </c>
      <c r="AU46" s="136">
        <f t="shared" si="14"/>
        <v>45</v>
      </c>
      <c r="AV46" s="136">
        <f t="shared" si="14"/>
        <v>46</v>
      </c>
      <c r="AW46" s="136">
        <f t="shared" si="14"/>
        <v>47</v>
      </c>
      <c r="AX46" s="136">
        <f t="shared" si="14"/>
        <v>48</v>
      </c>
      <c r="AY46" s="136">
        <f t="shared" si="14"/>
        <v>49</v>
      </c>
    </row>
    <row r="47" spans="1:98" x14ac:dyDescent="0.45">
      <c r="A47" s="45" t="s">
        <v>90</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row>
    <row r="48" spans="1:98" x14ac:dyDescent="0.45">
      <c r="A48" s="41"/>
      <c r="B48" s="134" t="str">
        <f t="shared" ref="B48:AG48" si="15">B2</f>
        <v>Year 1</v>
      </c>
      <c r="C48" s="134" t="str">
        <f t="shared" si="15"/>
        <v>Year 2</v>
      </c>
      <c r="D48" s="134" t="str">
        <f t="shared" si="15"/>
        <v>Year 3</v>
      </c>
      <c r="E48" s="134" t="str">
        <f t="shared" si="15"/>
        <v>Year 4</v>
      </c>
      <c r="F48" s="134" t="str">
        <f t="shared" si="15"/>
        <v>Year 5</v>
      </c>
      <c r="G48" s="134" t="str">
        <f t="shared" si="15"/>
        <v>Year 6</v>
      </c>
      <c r="H48" s="134" t="str">
        <f t="shared" si="15"/>
        <v>Year 7</v>
      </c>
      <c r="I48" s="134" t="str">
        <f t="shared" si="15"/>
        <v>Year 8</v>
      </c>
      <c r="J48" s="134" t="str">
        <f t="shared" si="15"/>
        <v>Year 9</v>
      </c>
      <c r="K48" s="134" t="str">
        <f t="shared" si="15"/>
        <v>Year 10</v>
      </c>
      <c r="L48" s="134" t="str">
        <f t="shared" si="15"/>
        <v>Year 11</v>
      </c>
      <c r="M48" s="134" t="str">
        <f t="shared" si="15"/>
        <v>Year 12</v>
      </c>
      <c r="N48" s="134" t="str">
        <f t="shared" si="15"/>
        <v>Year 13</v>
      </c>
      <c r="O48" s="134" t="str">
        <f t="shared" si="15"/>
        <v>Year 14</v>
      </c>
      <c r="P48" s="134" t="str">
        <f t="shared" si="15"/>
        <v>Year 15</v>
      </c>
      <c r="Q48" s="134" t="str">
        <f t="shared" si="15"/>
        <v>Year 16</v>
      </c>
      <c r="R48" s="134" t="str">
        <f t="shared" si="15"/>
        <v>Year 17</v>
      </c>
      <c r="S48" s="134" t="str">
        <f t="shared" si="15"/>
        <v>Year 18</v>
      </c>
      <c r="T48" s="134" t="str">
        <f t="shared" si="15"/>
        <v>Year 19</v>
      </c>
      <c r="U48" s="134" t="str">
        <f t="shared" si="15"/>
        <v>Year 20</v>
      </c>
      <c r="V48" s="134" t="str">
        <f t="shared" si="15"/>
        <v>Year 21</v>
      </c>
      <c r="W48" s="134" t="str">
        <f t="shared" si="15"/>
        <v>Year 22</v>
      </c>
      <c r="X48" s="134" t="str">
        <f t="shared" si="15"/>
        <v>Year 23</v>
      </c>
      <c r="Y48" s="134" t="str">
        <f t="shared" si="15"/>
        <v>Year 24</v>
      </c>
      <c r="Z48" s="134" t="str">
        <f t="shared" si="15"/>
        <v>Year 25</v>
      </c>
      <c r="AA48" s="134" t="str">
        <f t="shared" si="15"/>
        <v>Year 26</v>
      </c>
      <c r="AB48" s="134" t="str">
        <f t="shared" si="15"/>
        <v>Year 27</v>
      </c>
      <c r="AC48" s="134" t="str">
        <f t="shared" si="15"/>
        <v>Year 28</v>
      </c>
      <c r="AD48" s="134" t="str">
        <f t="shared" si="15"/>
        <v>Year 29</v>
      </c>
      <c r="AE48" s="134" t="str">
        <f t="shared" si="15"/>
        <v>Year 30</v>
      </c>
      <c r="AF48" s="134" t="str">
        <f t="shared" si="15"/>
        <v>Year 31</v>
      </c>
      <c r="AG48" s="134" t="str">
        <f t="shared" si="15"/>
        <v>Year 32</v>
      </c>
      <c r="AH48" s="134" t="str">
        <f t="shared" ref="AH48:AY48" si="16">AH2</f>
        <v>Year 33</v>
      </c>
      <c r="AI48" s="134" t="str">
        <f t="shared" si="16"/>
        <v>Year 34</v>
      </c>
      <c r="AJ48" s="134" t="str">
        <f t="shared" si="16"/>
        <v>Year 35</v>
      </c>
      <c r="AK48" s="134" t="str">
        <f t="shared" si="16"/>
        <v>Year 36</v>
      </c>
      <c r="AL48" s="134" t="str">
        <f t="shared" si="16"/>
        <v>Year 37</v>
      </c>
      <c r="AM48" s="134" t="str">
        <f t="shared" si="16"/>
        <v>Year 38</v>
      </c>
      <c r="AN48" s="134" t="str">
        <f t="shared" si="16"/>
        <v>Year 39</v>
      </c>
      <c r="AO48" s="134" t="str">
        <f t="shared" si="16"/>
        <v>Year 40</v>
      </c>
      <c r="AP48" s="134" t="str">
        <f t="shared" si="16"/>
        <v>Year 41</v>
      </c>
      <c r="AQ48" s="134" t="str">
        <f t="shared" si="16"/>
        <v>Year 42</v>
      </c>
      <c r="AR48" s="134" t="str">
        <f t="shared" si="16"/>
        <v>Year 43</v>
      </c>
      <c r="AS48" s="134" t="str">
        <f t="shared" si="16"/>
        <v>Year 44</v>
      </c>
      <c r="AT48" s="134" t="str">
        <f t="shared" si="16"/>
        <v>Year 45</v>
      </c>
      <c r="AU48" s="134" t="str">
        <f t="shared" si="16"/>
        <v>Year 46</v>
      </c>
      <c r="AV48" s="134" t="str">
        <f t="shared" si="16"/>
        <v>Year 47</v>
      </c>
      <c r="AW48" s="134" t="str">
        <f t="shared" si="16"/>
        <v>Year 48</v>
      </c>
      <c r="AX48" s="134" t="str">
        <f t="shared" si="16"/>
        <v>Year 49</v>
      </c>
      <c r="AY48" s="134" t="str">
        <f t="shared" si="16"/>
        <v>Year 50</v>
      </c>
    </row>
    <row r="49" spans="1:51" x14ac:dyDescent="0.45">
      <c r="A49" s="41" t="str">
        <f t="shared" ref="A49:A56" si="17">A4</f>
        <v>Direct seeding ($)</v>
      </c>
      <c r="B49" s="134">
        <f>B4*(1+Dashboard_3!$H$41)^Model_1!B$46</f>
        <v>0</v>
      </c>
      <c r="C49" s="134">
        <f>C4*(1+Dashboard_3!$H$41)^Model_1!C$46</f>
        <v>0</v>
      </c>
      <c r="D49" s="134">
        <f>D4*(1+Dashboard_3!$H$41)^Model_1!D$46</f>
        <v>0</v>
      </c>
      <c r="E49" s="134">
        <f>E4*(1+Dashboard_3!$H$41)^Model_1!E$46</f>
        <v>0</v>
      </c>
      <c r="F49" s="134">
        <f>F4*(1+Dashboard_3!$H$41)^Model_1!F$46</f>
        <v>0</v>
      </c>
      <c r="G49" s="134">
        <f>G4*(1+Dashboard_3!$H$41)^Model_1!G$46</f>
        <v>0</v>
      </c>
      <c r="H49" s="134">
        <f>H4*(1+Dashboard_3!$H$41)^Model_1!H$46</f>
        <v>0</v>
      </c>
      <c r="I49" s="134">
        <f>I4*(1+Dashboard_3!$H$41)^Model_1!I$46</f>
        <v>0</v>
      </c>
      <c r="J49" s="134">
        <f>J4*(1+Dashboard_3!$H$41)^Model_1!J$46</f>
        <v>0</v>
      </c>
      <c r="K49" s="134">
        <f>K4*(1+Dashboard_3!$H$41)^Model_1!K$46</f>
        <v>0</v>
      </c>
      <c r="L49" s="134">
        <f>L4*(1+Dashboard_3!$H$41)^Model_1!L$46</f>
        <v>0</v>
      </c>
      <c r="M49" s="134">
        <f>M4*(1+Dashboard_3!$H$41)^Model_1!M$46</f>
        <v>0</v>
      </c>
      <c r="N49" s="134">
        <f>N4*(1+Dashboard_3!$H$41)^Model_1!N$46</f>
        <v>0</v>
      </c>
      <c r="O49" s="134">
        <f>O4*(1+Dashboard_3!$H$41)^Model_1!O$46</f>
        <v>0</v>
      </c>
      <c r="P49" s="134">
        <f>P4*(1+Dashboard_3!$H$41)^Model_1!P$46</f>
        <v>0</v>
      </c>
      <c r="Q49" s="134">
        <f>Q4*(1+Dashboard_3!$H$41)^Model_1!Q$46</f>
        <v>0</v>
      </c>
      <c r="R49" s="134">
        <f>R4*(1+Dashboard_3!$H$41)^Model_1!R$46</f>
        <v>0</v>
      </c>
      <c r="S49" s="134">
        <f>S4*(1+Dashboard_3!$H$41)^Model_1!S$46</f>
        <v>0</v>
      </c>
      <c r="T49" s="134">
        <f>T4*(1+Dashboard_3!$H$41)^Model_1!T$46</f>
        <v>0</v>
      </c>
      <c r="U49" s="134">
        <f>U4*(1+Dashboard_3!$H$41)^Model_1!U$46</f>
        <v>0</v>
      </c>
      <c r="V49" s="134">
        <f>V4*(1+Dashboard_3!$H$41)^Model_1!V$46</f>
        <v>0</v>
      </c>
      <c r="W49" s="134">
        <f>W4*(1+Dashboard_3!$H$41)^Model_1!W$46</f>
        <v>0</v>
      </c>
      <c r="X49" s="134">
        <f>X4*(1+Dashboard_3!$H$41)^Model_1!X$46</f>
        <v>0</v>
      </c>
      <c r="Y49" s="134">
        <f>Y4*(1+Dashboard_3!$H$41)^Model_1!Y$46</f>
        <v>0</v>
      </c>
      <c r="Z49" s="134">
        <f>Z4*(1+Dashboard_3!$H$41)^Model_1!Z$46</f>
        <v>0</v>
      </c>
      <c r="AA49" s="134">
        <f>AA4*(1+Dashboard_3!$H$41)^Model_1!AA$46</f>
        <v>0</v>
      </c>
      <c r="AB49" s="134">
        <f>AB4*(1+Dashboard_3!$H$41)^Model_1!AB$46</f>
        <v>0</v>
      </c>
      <c r="AC49" s="134">
        <f>AC4*(1+Dashboard_3!$H$41)^Model_1!AC$46</f>
        <v>0</v>
      </c>
      <c r="AD49" s="134">
        <f>AD4*(1+Dashboard_3!$H$41)^Model_1!AD$46</f>
        <v>0</v>
      </c>
      <c r="AE49" s="134">
        <f>AE4*(1+Dashboard_3!$H$41)^Model_1!AE$46</f>
        <v>0</v>
      </c>
      <c r="AF49" s="134">
        <f>AF4*(1+Dashboard_3!$H$41)^Model_1!AF$46</f>
        <v>0</v>
      </c>
      <c r="AG49" s="134">
        <f>AG4*(1+Dashboard_3!$H$41)^Model_1!AG$46</f>
        <v>0</v>
      </c>
      <c r="AH49" s="134">
        <f>AH4*(1+Dashboard_3!$H$41)^Model_1!AH$46</f>
        <v>0</v>
      </c>
      <c r="AI49" s="134">
        <f>AI4*(1+Dashboard_3!$H$41)^Model_1!AI$46</f>
        <v>0</v>
      </c>
      <c r="AJ49" s="134">
        <f>AJ4*(1+Dashboard_3!$H$41)^Model_1!AJ$46</f>
        <v>0</v>
      </c>
      <c r="AK49" s="134">
        <f>AK4*(1+Dashboard_3!$H$41)^Model_1!AK$46</f>
        <v>0</v>
      </c>
      <c r="AL49" s="134">
        <f>AL4*(1+Dashboard_3!$H$41)^Model_1!AL$46</f>
        <v>0</v>
      </c>
      <c r="AM49" s="134">
        <f>AM4*(1+Dashboard_3!$H$41)^Model_1!AM$46</f>
        <v>0</v>
      </c>
      <c r="AN49" s="134">
        <f>AN4*(1+Dashboard_3!$H$41)^Model_1!AN$46</f>
        <v>0</v>
      </c>
      <c r="AO49" s="134">
        <f>AO4*(1+Dashboard_3!$H$41)^Model_1!AO$46</f>
        <v>0</v>
      </c>
      <c r="AP49" s="134">
        <f>AP4*(1+Dashboard_3!$H$41)^Model_1!AP$46</f>
        <v>0</v>
      </c>
      <c r="AQ49" s="134">
        <f>AQ4*(1+Dashboard_3!$H$41)^Model_1!AQ$46</f>
        <v>0</v>
      </c>
      <c r="AR49" s="134">
        <f>AR4*(1+Dashboard_3!$H$41)^Model_1!AR$46</f>
        <v>0</v>
      </c>
      <c r="AS49" s="134">
        <f>AS4*(1+Dashboard_3!$H$41)^Model_1!AS$46</f>
        <v>0</v>
      </c>
      <c r="AT49" s="134">
        <f>AT4*(1+Dashboard_3!$H$41)^Model_1!AT$46</f>
        <v>0</v>
      </c>
      <c r="AU49" s="134">
        <f>AU4*(1+Dashboard_3!$H$41)^Model_1!AU$46</f>
        <v>0</v>
      </c>
      <c r="AV49" s="134">
        <f>AV4*(1+Dashboard_3!$H$41)^Model_1!AV$46</f>
        <v>0</v>
      </c>
      <c r="AW49" s="134">
        <f>AW4*(1+Dashboard_3!$H$41)^Model_1!AW$46</f>
        <v>0</v>
      </c>
      <c r="AX49" s="134">
        <f>AX4*(1+Dashboard_3!$H$41)^Model_1!AX$46</f>
        <v>0</v>
      </c>
      <c r="AY49" s="134">
        <f>AY4*(1+Dashboard_3!$H$41)^Model_1!AY$46</f>
        <v>0</v>
      </c>
    </row>
    <row r="50" spans="1:51" x14ac:dyDescent="0.45">
      <c r="A50" s="41" t="str">
        <f t="shared" si="17"/>
        <v>Tubestock supply and planting ($)</v>
      </c>
      <c r="B50" s="134">
        <f>B5*(1+Dashboard_3!$H$41)^Model_1!B$46</f>
        <v>15000</v>
      </c>
      <c r="C50" s="134">
        <f>C5*(1+Dashboard_3!$H$41)^Model_1!C$46</f>
        <v>0</v>
      </c>
      <c r="D50" s="134">
        <f>D5*(1+Dashboard_3!$H$41)^Model_1!D$46</f>
        <v>0</v>
      </c>
      <c r="E50" s="134">
        <f>E5*(1+Dashboard_3!$H$41)^Model_1!E$46</f>
        <v>0</v>
      </c>
      <c r="F50" s="134">
        <f>F5*(1+Dashboard_3!$H$41)^Model_1!F$46</f>
        <v>0</v>
      </c>
      <c r="G50" s="134">
        <f>G5*(1+Dashboard_3!$H$41)^Model_1!G$46</f>
        <v>0</v>
      </c>
      <c r="H50" s="134">
        <f>H5*(1+Dashboard_3!$H$41)^Model_1!H$46</f>
        <v>0</v>
      </c>
      <c r="I50" s="134">
        <f>I5*(1+Dashboard_3!$H$41)^Model_1!I$46</f>
        <v>0</v>
      </c>
      <c r="J50" s="134">
        <f>J5*(1+Dashboard_3!$H$41)^Model_1!J$46</f>
        <v>0</v>
      </c>
      <c r="K50" s="134">
        <f>K5*(1+Dashboard_3!$H$41)^Model_1!K$46</f>
        <v>0</v>
      </c>
      <c r="L50" s="134">
        <f>L5*(1+Dashboard_3!$H$41)^Model_1!L$46</f>
        <v>0</v>
      </c>
      <c r="M50" s="134">
        <f>M5*(1+Dashboard_3!$H$41)^Model_1!M$46</f>
        <v>0</v>
      </c>
      <c r="N50" s="134">
        <f>N5*(1+Dashboard_3!$H$41)^Model_1!N$46</f>
        <v>0</v>
      </c>
      <c r="O50" s="134">
        <f>O5*(1+Dashboard_3!$H$41)^Model_1!O$46</f>
        <v>0</v>
      </c>
      <c r="P50" s="134">
        <f>P5*(1+Dashboard_3!$H$41)^Model_1!P$46</f>
        <v>0</v>
      </c>
      <c r="Q50" s="134">
        <f>Q5*(1+Dashboard_3!$H$41)^Model_1!Q$46</f>
        <v>0</v>
      </c>
      <c r="R50" s="134">
        <f>R5*(1+Dashboard_3!$H$41)^Model_1!R$46</f>
        <v>0</v>
      </c>
      <c r="S50" s="134">
        <f>S5*(1+Dashboard_3!$H$41)^Model_1!S$46</f>
        <v>0</v>
      </c>
      <c r="T50" s="134">
        <f>T5*(1+Dashboard_3!$H$41)^Model_1!T$46</f>
        <v>0</v>
      </c>
      <c r="U50" s="134">
        <f>U5*(1+Dashboard_3!$H$41)^Model_1!U$46</f>
        <v>0</v>
      </c>
      <c r="V50" s="134">
        <f>V5*(1+Dashboard_3!$H$41)^Model_1!V$46</f>
        <v>0</v>
      </c>
      <c r="W50" s="134">
        <f>W5*(1+Dashboard_3!$H$41)^Model_1!W$46</f>
        <v>0</v>
      </c>
      <c r="X50" s="134">
        <f>X5*(1+Dashboard_3!$H$41)^Model_1!X$46</f>
        <v>0</v>
      </c>
      <c r="Y50" s="134">
        <f>Y5*(1+Dashboard_3!$H$41)^Model_1!Y$46</f>
        <v>0</v>
      </c>
      <c r="Z50" s="134">
        <f>Z5*(1+Dashboard_3!$H$41)^Model_1!Z$46</f>
        <v>0</v>
      </c>
      <c r="AA50" s="134">
        <f>AA5*(1+Dashboard_3!$H$41)^Model_1!AA$46</f>
        <v>0</v>
      </c>
      <c r="AB50" s="134">
        <f>AB5*(1+Dashboard_3!$H$41)^Model_1!AB$46</f>
        <v>0</v>
      </c>
      <c r="AC50" s="134">
        <f>AC5*(1+Dashboard_3!$H$41)^Model_1!AC$46</f>
        <v>0</v>
      </c>
      <c r="AD50" s="134">
        <f>AD5*(1+Dashboard_3!$H$41)^Model_1!AD$46</f>
        <v>0</v>
      </c>
      <c r="AE50" s="134">
        <f>AE5*(1+Dashboard_3!$H$41)^Model_1!AE$46</f>
        <v>0</v>
      </c>
      <c r="AF50" s="134">
        <f>AF5*(1+Dashboard_3!$H$41)^Model_1!AF$46</f>
        <v>0</v>
      </c>
      <c r="AG50" s="134">
        <f>AG5*(1+Dashboard_3!$H$41)^Model_1!AG$46</f>
        <v>0</v>
      </c>
      <c r="AH50" s="134">
        <f>AH5*(1+Dashboard_3!$H$41)^Model_1!AH$46</f>
        <v>0</v>
      </c>
      <c r="AI50" s="134">
        <f>AI5*(1+Dashboard_3!$H$41)^Model_1!AI$46</f>
        <v>0</v>
      </c>
      <c r="AJ50" s="134">
        <f>AJ5*(1+Dashboard_3!$H$41)^Model_1!AJ$46</f>
        <v>0</v>
      </c>
      <c r="AK50" s="134">
        <f>AK5*(1+Dashboard_3!$H$41)^Model_1!AK$46</f>
        <v>0</v>
      </c>
      <c r="AL50" s="134">
        <f>AL5*(1+Dashboard_3!$H$41)^Model_1!AL$46</f>
        <v>0</v>
      </c>
      <c r="AM50" s="134">
        <f>AM5*(1+Dashboard_3!$H$41)^Model_1!AM$46</f>
        <v>0</v>
      </c>
      <c r="AN50" s="134">
        <f>AN5*(1+Dashboard_3!$H$41)^Model_1!AN$46</f>
        <v>0</v>
      </c>
      <c r="AO50" s="134">
        <f>AO5*(1+Dashboard_3!$H$41)^Model_1!AO$46</f>
        <v>0</v>
      </c>
      <c r="AP50" s="134">
        <f>AP5*(1+Dashboard_3!$H$41)^Model_1!AP$46</f>
        <v>0</v>
      </c>
      <c r="AQ50" s="134">
        <f>AQ5*(1+Dashboard_3!$H$41)^Model_1!AQ$46</f>
        <v>0</v>
      </c>
      <c r="AR50" s="134">
        <f>AR5*(1+Dashboard_3!$H$41)^Model_1!AR$46</f>
        <v>0</v>
      </c>
      <c r="AS50" s="134">
        <f>AS5*(1+Dashboard_3!$H$41)^Model_1!AS$46</f>
        <v>0</v>
      </c>
      <c r="AT50" s="134">
        <f>AT5*(1+Dashboard_3!$H$41)^Model_1!AT$46</f>
        <v>0</v>
      </c>
      <c r="AU50" s="134">
        <f>AU5*(1+Dashboard_3!$H$41)^Model_1!AU$46</f>
        <v>0</v>
      </c>
      <c r="AV50" s="134">
        <f>AV5*(1+Dashboard_3!$H$41)^Model_1!AV$46</f>
        <v>0</v>
      </c>
      <c r="AW50" s="134">
        <f>AW5*(1+Dashboard_3!$H$41)^Model_1!AW$46</f>
        <v>0</v>
      </c>
      <c r="AX50" s="134">
        <f>AX5*(1+Dashboard_3!$H$41)^Model_1!AX$46</f>
        <v>0</v>
      </c>
      <c r="AY50" s="134">
        <f>AY5*(1+Dashboard_3!$H$41)^Model_1!AY$46</f>
        <v>0</v>
      </c>
    </row>
    <row r="51" spans="1:51" x14ac:dyDescent="0.45">
      <c r="A51" s="41" t="str">
        <f t="shared" si="17"/>
        <v>Tubestock tree guards / protection sleeve</v>
      </c>
      <c r="B51" s="134">
        <f>B6*(1+Dashboard_3!$H$41)^Model_1!B$46</f>
        <v>2500</v>
      </c>
      <c r="C51" s="134">
        <f>C6*(1+Dashboard_3!$H$41)^Model_1!C$46</f>
        <v>0</v>
      </c>
      <c r="D51" s="134">
        <f>D6*(1+Dashboard_3!$H$41)^Model_1!D$46</f>
        <v>0</v>
      </c>
      <c r="E51" s="134">
        <f>E6*(1+Dashboard_3!$H$41)^Model_1!E$46</f>
        <v>0</v>
      </c>
      <c r="F51" s="134">
        <f>F6*(1+Dashboard_3!$H$41)^Model_1!F$46</f>
        <v>0</v>
      </c>
      <c r="G51" s="134">
        <f>G6*(1+Dashboard_3!$H$41)^Model_1!G$46</f>
        <v>0</v>
      </c>
      <c r="H51" s="134">
        <f>H6*(1+Dashboard_3!$H$41)^Model_1!H$46</f>
        <v>0</v>
      </c>
      <c r="I51" s="134">
        <f>I6*(1+Dashboard_3!$H$41)^Model_1!I$46</f>
        <v>0</v>
      </c>
      <c r="J51" s="134">
        <f>J6*(1+Dashboard_3!$H$41)^Model_1!J$46</f>
        <v>0</v>
      </c>
      <c r="K51" s="134">
        <f>K6*(1+Dashboard_3!$H$41)^Model_1!K$46</f>
        <v>0</v>
      </c>
      <c r="L51" s="134">
        <f>L6*(1+Dashboard_3!$H$41)^Model_1!L$46</f>
        <v>0</v>
      </c>
      <c r="M51" s="134">
        <f>M6*(1+Dashboard_3!$H$41)^Model_1!M$46</f>
        <v>0</v>
      </c>
      <c r="N51" s="134">
        <f>N6*(1+Dashboard_3!$H$41)^Model_1!N$46</f>
        <v>0</v>
      </c>
      <c r="O51" s="134">
        <f>O6*(1+Dashboard_3!$H$41)^Model_1!O$46</f>
        <v>0</v>
      </c>
      <c r="P51" s="134">
        <f>P6*(1+Dashboard_3!$H$41)^Model_1!P$46</f>
        <v>0</v>
      </c>
      <c r="Q51" s="134">
        <f>Q6*(1+Dashboard_3!$H$41)^Model_1!Q$46</f>
        <v>0</v>
      </c>
      <c r="R51" s="134">
        <f>R6*(1+Dashboard_3!$H$41)^Model_1!R$46</f>
        <v>0</v>
      </c>
      <c r="S51" s="134">
        <f>S6*(1+Dashboard_3!$H$41)^Model_1!S$46</f>
        <v>0</v>
      </c>
      <c r="T51" s="134">
        <f>T6*(1+Dashboard_3!$H$41)^Model_1!T$46</f>
        <v>0</v>
      </c>
      <c r="U51" s="134">
        <f>U6*(1+Dashboard_3!$H$41)^Model_1!U$46</f>
        <v>0</v>
      </c>
      <c r="V51" s="134">
        <f>V6*(1+Dashboard_3!$H$41)^Model_1!V$46</f>
        <v>0</v>
      </c>
      <c r="W51" s="134">
        <f>W6*(1+Dashboard_3!$H$41)^Model_1!W$46</f>
        <v>0</v>
      </c>
      <c r="X51" s="134">
        <f>X6*(1+Dashboard_3!$H$41)^Model_1!X$46</f>
        <v>0</v>
      </c>
      <c r="Y51" s="134">
        <f>Y6*(1+Dashboard_3!$H$41)^Model_1!Y$46</f>
        <v>0</v>
      </c>
      <c r="Z51" s="134">
        <f>Z6*(1+Dashboard_3!$H$41)^Model_1!Z$46</f>
        <v>0</v>
      </c>
      <c r="AA51" s="134">
        <f>AA6*(1+Dashboard_3!$H$41)^Model_1!AA$46</f>
        <v>0</v>
      </c>
      <c r="AB51" s="134">
        <f>AB6*(1+Dashboard_3!$H$41)^Model_1!AB$46</f>
        <v>0</v>
      </c>
      <c r="AC51" s="134">
        <f>AC6*(1+Dashboard_3!$H$41)^Model_1!AC$46</f>
        <v>0</v>
      </c>
      <c r="AD51" s="134">
        <f>AD6*(1+Dashboard_3!$H$41)^Model_1!AD$46</f>
        <v>0</v>
      </c>
      <c r="AE51" s="134">
        <f>AE6*(1+Dashboard_3!$H$41)^Model_1!AE$46</f>
        <v>0</v>
      </c>
      <c r="AF51" s="134">
        <f>AF6*(1+Dashboard_3!$H$41)^Model_1!AF$46</f>
        <v>0</v>
      </c>
      <c r="AG51" s="134">
        <f>AG6*(1+Dashboard_3!$H$41)^Model_1!AG$46</f>
        <v>0</v>
      </c>
      <c r="AH51" s="134">
        <f>AH6*(1+Dashboard_3!$H$41)^Model_1!AH$46</f>
        <v>0</v>
      </c>
      <c r="AI51" s="134">
        <f>AI6*(1+Dashboard_3!$H$41)^Model_1!AI$46</f>
        <v>0</v>
      </c>
      <c r="AJ51" s="134">
        <f>AJ6*(1+Dashboard_3!$H$41)^Model_1!AJ$46</f>
        <v>0</v>
      </c>
      <c r="AK51" s="134">
        <f>AK6*(1+Dashboard_3!$H$41)^Model_1!AK$46</f>
        <v>0</v>
      </c>
      <c r="AL51" s="134">
        <f>AL6*(1+Dashboard_3!$H$41)^Model_1!AL$46</f>
        <v>0</v>
      </c>
      <c r="AM51" s="134">
        <f>AM6*(1+Dashboard_3!$H$41)^Model_1!AM$46</f>
        <v>0</v>
      </c>
      <c r="AN51" s="134">
        <f>AN6*(1+Dashboard_3!$H$41)^Model_1!AN$46</f>
        <v>0</v>
      </c>
      <c r="AO51" s="134">
        <f>AO6*(1+Dashboard_3!$H$41)^Model_1!AO$46</f>
        <v>0</v>
      </c>
      <c r="AP51" s="134">
        <f>AP6*(1+Dashboard_3!$H$41)^Model_1!AP$46</f>
        <v>0</v>
      </c>
      <c r="AQ51" s="134">
        <f>AQ6*(1+Dashboard_3!$H$41)^Model_1!AQ$46</f>
        <v>0</v>
      </c>
      <c r="AR51" s="134">
        <f>AR6*(1+Dashboard_3!$H$41)^Model_1!AR$46</f>
        <v>0</v>
      </c>
      <c r="AS51" s="134">
        <f>AS6*(1+Dashboard_3!$H$41)^Model_1!AS$46</f>
        <v>0</v>
      </c>
      <c r="AT51" s="134">
        <f>AT6*(1+Dashboard_3!$H$41)^Model_1!AT$46</f>
        <v>0</v>
      </c>
      <c r="AU51" s="134">
        <f>AU6*(1+Dashboard_3!$H$41)^Model_1!AU$46</f>
        <v>0</v>
      </c>
      <c r="AV51" s="134">
        <f>AV6*(1+Dashboard_3!$H$41)^Model_1!AV$46</f>
        <v>0</v>
      </c>
      <c r="AW51" s="134">
        <f>AW6*(1+Dashboard_3!$H$41)^Model_1!AW$46</f>
        <v>0</v>
      </c>
      <c r="AX51" s="134">
        <f>AX6*(1+Dashboard_3!$H$41)^Model_1!AX$46</f>
        <v>0</v>
      </c>
      <c r="AY51" s="134">
        <f>AY6*(1+Dashboard_3!$H$41)^Model_1!AY$46</f>
        <v>0</v>
      </c>
    </row>
    <row r="52" spans="1:51" x14ac:dyDescent="0.45">
      <c r="A52" s="41" t="str">
        <f t="shared" si="17"/>
        <v>Watering in year 1 ($)</v>
      </c>
      <c r="B52" s="134">
        <f>B7*(1+Dashboard_3!$H$41)^Model_1!B$46</f>
        <v>960</v>
      </c>
      <c r="C52" s="134">
        <f>C7*(1+Dashboard_3!$H$41)^Model_1!C$46</f>
        <v>0</v>
      </c>
      <c r="D52" s="134">
        <f>D7*(1+Dashboard_3!$H$41)^Model_1!D$46</f>
        <v>0</v>
      </c>
      <c r="E52" s="134">
        <f>E7*(1+Dashboard_3!$H$41)^Model_1!E$46</f>
        <v>0</v>
      </c>
      <c r="F52" s="134">
        <f>F7*(1+Dashboard_3!$H$41)^Model_1!F$46</f>
        <v>0</v>
      </c>
      <c r="G52" s="134">
        <f>G7*(1+Dashboard_3!$H$41)^Model_1!G$46</f>
        <v>0</v>
      </c>
      <c r="H52" s="134">
        <f>H7*(1+Dashboard_3!$H$41)^Model_1!H$46</f>
        <v>0</v>
      </c>
      <c r="I52" s="134">
        <f>I7*(1+Dashboard_3!$H$41)^Model_1!I$46</f>
        <v>0</v>
      </c>
      <c r="J52" s="134">
        <f>J7*(1+Dashboard_3!$H$41)^Model_1!J$46</f>
        <v>0</v>
      </c>
      <c r="K52" s="134">
        <f>K7*(1+Dashboard_3!$H$41)^Model_1!K$46</f>
        <v>0</v>
      </c>
      <c r="L52" s="134">
        <f>L7*(1+Dashboard_3!$H$41)^Model_1!L$46</f>
        <v>0</v>
      </c>
      <c r="M52" s="134">
        <f>M7*(1+Dashboard_3!$H$41)^Model_1!M$46</f>
        <v>0</v>
      </c>
      <c r="N52" s="134">
        <f>N7*(1+Dashboard_3!$H$41)^Model_1!N$46</f>
        <v>0</v>
      </c>
      <c r="O52" s="134">
        <f>O7*(1+Dashboard_3!$H$41)^Model_1!O$46</f>
        <v>0</v>
      </c>
      <c r="P52" s="134">
        <f>P7*(1+Dashboard_3!$H$41)^Model_1!P$46</f>
        <v>0</v>
      </c>
      <c r="Q52" s="134">
        <f>Q7*(1+Dashboard_3!$H$41)^Model_1!Q$46</f>
        <v>0</v>
      </c>
      <c r="R52" s="134">
        <f>R7*(1+Dashboard_3!$H$41)^Model_1!R$46</f>
        <v>0</v>
      </c>
      <c r="S52" s="134">
        <f>S7*(1+Dashboard_3!$H$41)^Model_1!S$46</f>
        <v>0</v>
      </c>
      <c r="T52" s="134">
        <f>T7*(1+Dashboard_3!$H$41)^Model_1!T$46</f>
        <v>0</v>
      </c>
      <c r="U52" s="134">
        <f>U7*(1+Dashboard_3!$H$41)^Model_1!U$46</f>
        <v>0</v>
      </c>
      <c r="V52" s="134">
        <f>V7*(1+Dashboard_3!$H$41)^Model_1!V$46</f>
        <v>0</v>
      </c>
      <c r="W52" s="134">
        <f>W7*(1+Dashboard_3!$H$41)^Model_1!W$46</f>
        <v>0</v>
      </c>
      <c r="X52" s="134">
        <f>X7*(1+Dashboard_3!$H$41)^Model_1!X$46</f>
        <v>0</v>
      </c>
      <c r="Y52" s="134">
        <f>Y7*(1+Dashboard_3!$H$41)^Model_1!Y$46</f>
        <v>0</v>
      </c>
      <c r="Z52" s="134">
        <f>Z7*(1+Dashboard_3!$H$41)^Model_1!Z$46</f>
        <v>0</v>
      </c>
      <c r="AA52" s="134">
        <f>AA7*(1+Dashboard_3!$H$41)^Model_1!AA$46</f>
        <v>0</v>
      </c>
      <c r="AB52" s="134">
        <f>AB7*(1+Dashboard_3!$H$41)^Model_1!AB$46</f>
        <v>0</v>
      </c>
      <c r="AC52" s="134">
        <f>AC7*(1+Dashboard_3!$H$41)^Model_1!AC$46</f>
        <v>0</v>
      </c>
      <c r="AD52" s="134">
        <f>AD7*(1+Dashboard_3!$H$41)^Model_1!AD$46</f>
        <v>0</v>
      </c>
      <c r="AE52" s="134">
        <f>AE7*(1+Dashboard_3!$H$41)^Model_1!AE$46</f>
        <v>0</v>
      </c>
      <c r="AF52" s="134">
        <f>AF7*(1+Dashboard_3!$H$41)^Model_1!AF$46</f>
        <v>0</v>
      </c>
      <c r="AG52" s="134">
        <f>AG7*(1+Dashboard_3!$H$41)^Model_1!AG$46</f>
        <v>0</v>
      </c>
      <c r="AH52" s="134">
        <f>AH7*(1+Dashboard_3!$H$41)^Model_1!AH$46</f>
        <v>0</v>
      </c>
      <c r="AI52" s="134">
        <f>AI7*(1+Dashboard_3!$H$41)^Model_1!AI$46</f>
        <v>0</v>
      </c>
      <c r="AJ52" s="134">
        <f>AJ7*(1+Dashboard_3!$H$41)^Model_1!AJ$46</f>
        <v>0</v>
      </c>
      <c r="AK52" s="134">
        <f>AK7*(1+Dashboard_3!$H$41)^Model_1!AK$46</f>
        <v>0</v>
      </c>
      <c r="AL52" s="134">
        <f>AL7*(1+Dashboard_3!$H$41)^Model_1!AL$46</f>
        <v>0</v>
      </c>
      <c r="AM52" s="134">
        <f>AM7*(1+Dashboard_3!$H$41)^Model_1!AM$46</f>
        <v>0</v>
      </c>
      <c r="AN52" s="134">
        <f>AN7*(1+Dashboard_3!$H$41)^Model_1!AN$46</f>
        <v>0</v>
      </c>
      <c r="AO52" s="134">
        <f>AO7*(1+Dashboard_3!$H$41)^Model_1!AO$46</f>
        <v>0</v>
      </c>
      <c r="AP52" s="134">
        <f>AP7*(1+Dashboard_3!$H$41)^Model_1!AP$46</f>
        <v>0</v>
      </c>
      <c r="AQ52" s="134">
        <f>AQ7*(1+Dashboard_3!$H$41)^Model_1!AQ$46</f>
        <v>0</v>
      </c>
      <c r="AR52" s="134">
        <f>AR7*(1+Dashboard_3!$H$41)^Model_1!AR$46</f>
        <v>0</v>
      </c>
      <c r="AS52" s="134">
        <f>AS7*(1+Dashboard_3!$H$41)^Model_1!AS$46</f>
        <v>0</v>
      </c>
      <c r="AT52" s="134">
        <f>AT7*(1+Dashboard_3!$H$41)^Model_1!AT$46</f>
        <v>0</v>
      </c>
      <c r="AU52" s="134">
        <f>AU7*(1+Dashboard_3!$H$41)^Model_1!AU$46</f>
        <v>0</v>
      </c>
      <c r="AV52" s="134">
        <f>AV7*(1+Dashboard_3!$H$41)^Model_1!AV$46</f>
        <v>0</v>
      </c>
      <c r="AW52" s="134">
        <f>AW7*(1+Dashboard_3!$H$41)^Model_1!AW$46</f>
        <v>0</v>
      </c>
      <c r="AX52" s="134">
        <f>AX7*(1+Dashboard_3!$H$41)^Model_1!AX$46</f>
        <v>0</v>
      </c>
      <c r="AY52" s="134">
        <f>AY7*(1+Dashboard_3!$H$41)^Model_1!AY$46</f>
        <v>0</v>
      </c>
    </row>
    <row r="53" spans="1:51" x14ac:dyDescent="0.45">
      <c r="A53" s="41" t="str">
        <f t="shared" si="17"/>
        <v>Watering from year 2 to 10 ($)</v>
      </c>
      <c r="B53" s="134">
        <f>B8*(1+Dashboard_3!$H$41)^Model_1!B$46</f>
        <v>0</v>
      </c>
      <c r="C53" s="134">
        <f>C8*(1+Dashboard_3!$H$41)^Model_1!C$46</f>
        <v>320</v>
      </c>
      <c r="D53" s="134">
        <f>D8*(1+Dashboard_3!$H$41)^Model_1!D$46</f>
        <v>320</v>
      </c>
      <c r="E53" s="134">
        <f>E8*(1+Dashboard_3!$H$41)^Model_1!E$46</f>
        <v>320</v>
      </c>
      <c r="F53" s="134">
        <f>F8*(1+Dashboard_3!$H$41)^Model_1!F$46</f>
        <v>320</v>
      </c>
      <c r="G53" s="134">
        <f>G8*(1+Dashboard_3!$H$41)^Model_1!G$46</f>
        <v>320</v>
      </c>
      <c r="H53" s="134">
        <f>H8*(1+Dashboard_3!$H$41)^Model_1!H$46</f>
        <v>320</v>
      </c>
      <c r="I53" s="134">
        <f>I8*(1+Dashboard_3!$H$41)^Model_1!I$46</f>
        <v>320</v>
      </c>
      <c r="J53" s="134">
        <f>J8*(1+Dashboard_3!$H$41)^Model_1!J$46</f>
        <v>320</v>
      </c>
      <c r="K53" s="134">
        <f>K8*(1+Dashboard_3!$H$41)^Model_1!K$46</f>
        <v>320</v>
      </c>
      <c r="L53" s="134">
        <f>L8*(1+Dashboard_3!$H$41)^Model_1!L$46</f>
        <v>0</v>
      </c>
      <c r="M53" s="134">
        <f>M8*(1+Dashboard_3!$H$41)^Model_1!M$46</f>
        <v>0</v>
      </c>
      <c r="N53" s="134">
        <f>N8*(1+Dashboard_3!$H$41)^Model_1!N$46</f>
        <v>0</v>
      </c>
      <c r="O53" s="134">
        <f>O8*(1+Dashboard_3!$H$41)^Model_1!O$46</f>
        <v>0</v>
      </c>
      <c r="P53" s="134">
        <f>P8*(1+Dashboard_3!$H$41)^Model_1!P$46</f>
        <v>0</v>
      </c>
      <c r="Q53" s="134">
        <f>Q8*(1+Dashboard_3!$H$41)^Model_1!Q$46</f>
        <v>0</v>
      </c>
      <c r="R53" s="134">
        <f>R8*(1+Dashboard_3!$H$41)^Model_1!R$46</f>
        <v>0</v>
      </c>
      <c r="S53" s="134">
        <f>S8*(1+Dashboard_3!$H$41)^Model_1!S$46</f>
        <v>0</v>
      </c>
      <c r="T53" s="134">
        <f>T8*(1+Dashboard_3!$H$41)^Model_1!T$46</f>
        <v>0</v>
      </c>
      <c r="U53" s="134">
        <f>U8*(1+Dashboard_3!$H$41)^Model_1!U$46</f>
        <v>0</v>
      </c>
      <c r="V53" s="134">
        <f>V8*(1+Dashboard_3!$H$41)^Model_1!V$46</f>
        <v>0</v>
      </c>
      <c r="W53" s="134">
        <f>W8*(1+Dashboard_3!$H$41)^Model_1!W$46</f>
        <v>0</v>
      </c>
      <c r="X53" s="134">
        <f>X8*(1+Dashboard_3!$H$41)^Model_1!X$46</f>
        <v>0</v>
      </c>
      <c r="Y53" s="134">
        <f>Y8*(1+Dashboard_3!$H$41)^Model_1!Y$46</f>
        <v>0</v>
      </c>
      <c r="Z53" s="134">
        <f>Z8*(1+Dashboard_3!$H$41)^Model_1!Z$46</f>
        <v>0</v>
      </c>
      <c r="AA53" s="134">
        <f>AA8*(1+Dashboard_3!$H$41)^Model_1!AA$46</f>
        <v>0</v>
      </c>
      <c r="AB53" s="134">
        <f>AB8*(1+Dashboard_3!$H$41)^Model_1!AB$46</f>
        <v>0</v>
      </c>
      <c r="AC53" s="134">
        <f>AC8*(1+Dashboard_3!$H$41)^Model_1!AC$46</f>
        <v>0</v>
      </c>
      <c r="AD53" s="134">
        <f>AD8*(1+Dashboard_3!$H$41)^Model_1!AD$46</f>
        <v>0</v>
      </c>
      <c r="AE53" s="134">
        <f>AE8*(1+Dashboard_3!$H$41)^Model_1!AE$46</f>
        <v>0</v>
      </c>
      <c r="AF53" s="134">
        <f>AF8*(1+Dashboard_3!$H$41)^Model_1!AF$46</f>
        <v>0</v>
      </c>
      <c r="AG53" s="134">
        <f>AG8*(1+Dashboard_3!$H$41)^Model_1!AG$46</f>
        <v>0</v>
      </c>
      <c r="AH53" s="134">
        <f>AH8*(1+Dashboard_3!$H$41)^Model_1!AH$46</f>
        <v>0</v>
      </c>
      <c r="AI53" s="134">
        <f>AI8*(1+Dashboard_3!$H$41)^Model_1!AI$46</f>
        <v>0</v>
      </c>
      <c r="AJ53" s="134">
        <f>AJ8*(1+Dashboard_3!$H$41)^Model_1!AJ$46</f>
        <v>0</v>
      </c>
      <c r="AK53" s="134">
        <f>AK8*(1+Dashboard_3!$H$41)^Model_1!AK$46</f>
        <v>0</v>
      </c>
      <c r="AL53" s="134">
        <f>AL8*(1+Dashboard_3!$H$41)^Model_1!AL$46</f>
        <v>0</v>
      </c>
      <c r="AM53" s="134">
        <f>AM8*(1+Dashboard_3!$H$41)^Model_1!AM$46</f>
        <v>0</v>
      </c>
      <c r="AN53" s="134">
        <f>AN8*(1+Dashboard_3!$H$41)^Model_1!AN$46</f>
        <v>0</v>
      </c>
      <c r="AO53" s="134">
        <f>AO8*(1+Dashboard_3!$H$41)^Model_1!AO$46</f>
        <v>0</v>
      </c>
      <c r="AP53" s="134">
        <f>AP8*(1+Dashboard_3!$H$41)^Model_1!AP$46</f>
        <v>0</v>
      </c>
      <c r="AQ53" s="134">
        <f>AQ8*(1+Dashboard_3!$H$41)^Model_1!AQ$46</f>
        <v>0</v>
      </c>
      <c r="AR53" s="134">
        <f>AR8*(1+Dashboard_3!$H$41)^Model_1!AR$46</f>
        <v>0</v>
      </c>
      <c r="AS53" s="134">
        <f>AS8*(1+Dashboard_3!$H$41)^Model_1!AS$46</f>
        <v>0</v>
      </c>
      <c r="AT53" s="134">
        <f>AT8*(1+Dashboard_3!$H$41)^Model_1!AT$46</f>
        <v>0</v>
      </c>
      <c r="AU53" s="134">
        <f>AU8*(1+Dashboard_3!$H$41)^Model_1!AU$46</f>
        <v>0</v>
      </c>
      <c r="AV53" s="134">
        <f>AV8*(1+Dashboard_3!$H$41)^Model_1!AV$46</f>
        <v>0</v>
      </c>
      <c r="AW53" s="134">
        <f>AW8*(1+Dashboard_3!$H$41)^Model_1!AW$46</f>
        <v>0</v>
      </c>
      <c r="AX53" s="134">
        <f>AX8*(1+Dashboard_3!$H$41)^Model_1!AX$46</f>
        <v>0</v>
      </c>
      <c r="AY53" s="134">
        <f>AY8*(1+Dashboard_3!$H$41)^Model_1!AY$46</f>
        <v>0</v>
      </c>
    </row>
    <row r="54" spans="1:51" x14ac:dyDescent="0.45">
      <c r="A54" s="41" t="str">
        <f t="shared" si="17"/>
        <v>Watering from year 10 onwards ($)</v>
      </c>
      <c r="B54" s="134">
        <f>B9*(1+Dashboard_3!$H$41)^Model_1!B$46</f>
        <v>0</v>
      </c>
      <c r="C54" s="134">
        <f>C9*(1+Dashboard_3!$H$41)^Model_1!C$46</f>
        <v>0</v>
      </c>
      <c r="D54" s="134">
        <f>D9*(1+Dashboard_3!$H$41)^Model_1!D$46</f>
        <v>0</v>
      </c>
      <c r="E54" s="134">
        <f>E9*(1+Dashboard_3!$H$41)^Model_1!E$46</f>
        <v>0</v>
      </c>
      <c r="F54" s="134">
        <f>F9*(1+Dashboard_3!$H$41)^Model_1!F$46</f>
        <v>0</v>
      </c>
      <c r="G54" s="134">
        <f>G9*(1+Dashboard_3!$H$41)^Model_1!G$46</f>
        <v>0</v>
      </c>
      <c r="H54" s="134">
        <f>H9*(1+Dashboard_3!$H$41)^Model_1!H$46</f>
        <v>0</v>
      </c>
      <c r="I54" s="134">
        <f>I9*(1+Dashboard_3!$H$41)^Model_1!I$46</f>
        <v>0</v>
      </c>
      <c r="J54" s="134">
        <f>J9*(1+Dashboard_3!$H$41)^Model_1!J$46</f>
        <v>0</v>
      </c>
      <c r="K54" s="134">
        <f>K9*(1+Dashboard_3!$H$41)^Model_1!K$46</f>
        <v>0</v>
      </c>
      <c r="L54" s="134">
        <f>L9*(1+Dashboard_3!$H$41)^Model_1!L$46</f>
        <v>0</v>
      </c>
      <c r="M54" s="134">
        <f>M9*(1+Dashboard_3!$H$41)^Model_1!M$46</f>
        <v>0</v>
      </c>
      <c r="N54" s="134">
        <f>N9*(1+Dashboard_3!$H$41)^Model_1!N$46</f>
        <v>0</v>
      </c>
      <c r="O54" s="134">
        <f>O9*(1+Dashboard_3!$H$41)^Model_1!O$46</f>
        <v>0</v>
      </c>
      <c r="P54" s="134">
        <f>P9*(1+Dashboard_3!$H$41)^Model_1!P$46</f>
        <v>0</v>
      </c>
      <c r="Q54" s="134">
        <f>Q9*(1+Dashboard_3!$H$41)^Model_1!Q$46</f>
        <v>0</v>
      </c>
      <c r="R54" s="134">
        <f>R9*(1+Dashboard_3!$H$41)^Model_1!R$46</f>
        <v>0</v>
      </c>
      <c r="S54" s="134">
        <f>S9*(1+Dashboard_3!$H$41)^Model_1!S$46</f>
        <v>0</v>
      </c>
      <c r="T54" s="134">
        <f>T9*(1+Dashboard_3!$H$41)^Model_1!T$46</f>
        <v>0</v>
      </c>
      <c r="U54" s="134">
        <f>U9*(1+Dashboard_3!$H$41)^Model_1!U$46</f>
        <v>0</v>
      </c>
      <c r="V54" s="134">
        <f>V9*(1+Dashboard_3!$H$41)^Model_1!V$46</f>
        <v>0</v>
      </c>
      <c r="W54" s="134">
        <f>W9*(1+Dashboard_3!$H$41)^Model_1!W$46</f>
        <v>0</v>
      </c>
      <c r="X54" s="134">
        <f>X9*(1+Dashboard_3!$H$41)^Model_1!X$46</f>
        <v>0</v>
      </c>
      <c r="Y54" s="134">
        <f>Y9*(1+Dashboard_3!$H$41)^Model_1!Y$46</f>
        <v>0</v>
      </c>
      <c r="Z54" s="134">
        <f>Z9*(1+Dashboard_3!$H$41)^Model_1!Z$46</f>
        <v>0</v>
      </c>
      <c r="AA54" s="134">
        <f>AA9*(1+Dashboard_3!$H$41)^Model_1!AA$46</f>
        <v>0</v>
      </c>
      <c r="AB54" s="134">
        <f>AB9*(1+Dashboard_3!$H$41)^Model_1!AB$46</f>
        <v>0</v>
      </c>
      <c r="AC54" s="134">
        <f>AC9*(1+Dashboard_3!$H$41)^Model_1!AC$46</f>
        <v>0</v>
      </c>
      <c r="AD54" s="134">
        <f>AD9*(1+Dashboard_3!$H$41)^Model_1!AD$46</f>
        <v>0</v>
      </c>
      <c r="AE54" s="134">
        <f>AE9*(1+Dashboard_3!$H$41)^Model_1!AE$46</f>
        <v>0</v>
      </c>
      <c r="AF54" s="134">
        <f>AF9*(1+Dashboard_3!$H$41)^Model_1!AF$46</f>
        <v>0</v>
      </c>
      <c r="AG54" s="134">
        <f>AG9*(1+Dashboard_3!$H$41)^Model_1!AG$46</f>
        <v>0</v>
      </c>
      <c r="AH54" s="134">
        <f>AH9*(1+Dashboard_3!$H$41)^Model_1!AH$46</f>
        <v>0</v>
      </c>
      <c r="AI54" s="134">
        <f>AI9*(1+Dashboard_3!$H$41)^Model_1!AI$46</f>
        <v>0</v>
      </c>
      <c r="AJ54" s="134">
        <f>AJ9*(1+Dashboard_3!$H$41)^Model_1!AJ$46</f>
        <v>0</v>
      </c>
      <c r="AK54" s="134">
        <f>AK9*(1+Dashboard_3!$H$41)^Model_1!AK$46</f>
        <v>0</v>
      </c>
      <c r="AL54" s="134">
        <f>AL9*(1+Dashboard_3!$H$41)^Model_1!AL$46</f>
        <v>0</v>
      </c>
      <c r="AM54" s="134">
        <f>AM9*(1+Dashboard_3!$H$41)^Model_1!AM$46</f>
        <v>0</v>
      </c>
      <c r="AN54" s="134">
        <f>AN9*(1+Dashboard_3!$H$41)^Model_1!AN$46</f>
        <v>0</v>
      </c>
      <c r="AO54" s="134">
        <f>AO9*(1+Dashboard_3!$H$41)^Model_1!AO$46</f>
        <v>0</v>
      </c>
      <c r="AP54" s="134">
        <f>AP9*(1+Dashboard_3!$H$41)^Model_1!AP$46</f>
        <v>0</v>
      </c>
      <c r="AQ54" s="134">
        <f>AQ9*(1+Dashboard_3!$H$41)^Model_1!AQ$46</f>
        <v>0</v>
      </c>
      <c r="AR54" s="134">
        <f>AR9*(1+Dashboard_3!$H$41)^Model_1!AR$46</f>
        <v>0</v>
      </c>
      <c r="AS54" s="134">
        <f>AS9*(1+Dashboard_3!$H$41)^Model_1!AS$46</f>
        <v>0</v>
      </c>
      <c r="AT54" s="134">
        <f>AT9*(1+Dashboard_3!$H$41)^Model_1!AT$46</f>
        <v>0</v>
      </c>
      <c r="AU54" s="134">
        <f>AU9*(1+Dashboard_3!$H$41)^Model_1!AU$46</f>
        <v>0</v>
      </c>
      <c r="AV54" s="134">
        <f>AV9*(1+Dashboard_3!$H$41)^Model_1!AV$46</f>
        <v>0</v>
      </c>
      <c r="AW54" s="134">
        <f>AW9*(1+Dashboard_3!$H$41)^Model_1!AW$46</f>
        <v>0</v>
      </c>
      <c r="AX54" s="134">
        <f>AX9*(1+Dashboard_3!$H$41)^Model_1!AX$46</f>
        <v>0</v>
      </c>
      <c r="AY54" s="134">
        <f>AY9*(1+Dashboard_3!$H$41)^Model_1!AY$46</f>
        <v>0</v>
      </c>
    </row>
    <row r="55" spans="1:51" x14ac:dyDescent="0.45">
      <c r="A55" s="41" t="str">
        <f t="shared" si="17"/>
        <v>Tree removal ($)</v>
      </c>
      <c r="B55" s="134">
        <f>B10*(1+Dashboard_3!$H$41)^Model_1!B$46</f>
        <v>0</v>
      </c>
      <c r="C55" s="134">
        <f>C10*(1+Dashboard_3!$H$41)^Model_1!C$46</f>
        <v>0</v>
      </c>
      <c r="D55" s="134">
        <f>D10*(1+Dashboard_3!$H$41)^Model_1!D$46</f>
        <v>0</v>
      </c>
      <c r="E55" s="134">
        <f>E10*(1+Dashboard_3!$H$41)^Model_1!E$46</f>
        <v>0</v>
      </c>
      <c r="F55" s="134">
        <f>F10*(1+Dashboard_3!$H$41)^Model_1!F$46</f>
        <v>0</v>
      </c>
      <c r="G55" s="134">
        <f>G10*(1+Dashboard_3!$H$41)^Model_1!G$46</f>
        <v>0</v>
      </c>
      <c r="H55" s="134">
        <f>H10*(1+Dashboard_3!$H$41)^Model_1!H$46</f>
        <v>0</v>
      </c>
      <c r="I55" s="134">
        <f>I10*(1+Dashboard_3!$H$41)^Model_1!I$46</f>
        <v>0</v>
      </c>
      <c r="J55" s="134">
        <f>J10*(1+Dashboard_3!$H$41)^Model_1!J$46</f>
        <v>0</v>
      </c>
      <c r="K55" s="134">
        <f>K10*(1+Dashboard_3!$H$41)^Model_1!K$46</f>
        <v>0</v>
      </c>
      <c r="L55" s="134">
        <f>L10*(1+Dashboard_3!$H$41)^Model_1!L$46</f>
        <v>0</v>
      </c>
      <c r="M55" s="134">
        <f>M10*(1+Dashboard_3!$H$41)^Model_1!M$46</f>
        <v>0</v>
      </c>
      <c r="N55" s="134">
        <f>N10*(1+Dashboard_3!$H$41)^Model_1!N$46</f>
        <v>0</v>
      </c>
      <c r="O55" s="134">
        <f>O10*(1+Dashboard_3!$H$41)^Model_1!O$46</f>
        <v>0</v>
      </c>
      <c r="P55" s="134">
        <f>P10*(1+Dashboard_3!$H$41)^Model_1!P$46</f>
        <v>0</v>
      </c>
      <c r="Q55" s="134">
        <f>Q10*(1+Dashboard_3!$H$41)^Model_1!Q$46</f>
        <v>0</v>
      </c>
      <c r="R55" s="134">
        <f>R10*(1+Dashboard_3!$H$41)^Model_1!R$46</f>
        <v>0</v>
      </c>
      <c r="S55" s="134">
        <f>S10*(1+Dashboard_3!$H$41)^Model_1!S$46</f>
        <v>0</v>
      </c>
      <c r="T55" s="134">
        <f>T10*(1+Dashboard_3!$H$41)^Model_1!T$46</f>
        <v>0</v>
      </c>
      <c r="U55" s="134">
        <f>U10*(1+Dashboard_3!$H$41)^Model_1!U$46</f>
        <v>0</v>
      </c>
      <c r="V55" s="134">
        <f>V10*(1+Dashboard_3!$H$41)^Model_1!V$46</f>
        <v>0</v>
      </c>
      <c r="W55" s="134">
        <f>W10*(1+Dashboard_3!$H$41)^Model_1!W$46</f>
        <v>0</v>
      </c>
      <c r="X55" s="134">
        <f>X10*(1+Dashboard_3!$H$41)^Model_1!X$46</f>
        <v>0</v>
      </c>
      <c r="Y55" s="134">
        <f>Y10*(1+Dashboard_3!$H$41)^Model_1!Y$46</f>
        <v>0</v>
      </c>
      <c r="Z55" s="134">
        <f>Z10*(1+Dashboard_3!$H$41)^Model_1!Z$46</f>
        <v>0</v>
      </c>
      <c r="AA55" s="134">
        <f>AA10*(1+Dashboard_3!$H$41)^Model_1!AA$46</f>
        <v>0</v>
      </c>
      <c r="AB55" s="134">
        <f>AB10*(1+Dashboard_3!$H$41)^Model_1!AB$46</f>
        <v>0</v>
      </c>
      <c r="AC55" s="134">
        <f>AC10*(1+Dashboard_3!$H$41)^Model_1!AC$46</f>
        <v>0</v>
      </c>
      <c r="AD55" s="134">
        <f>AD10*(1+Dashboard_3!$H$41)^Model_1!AD$46</f>
        <v>0</v>
      </c>
      <c r="AE55" s="134">
        <f>AE10*(1+Dashboard_3!$H$41)^Model_1!AE$46</f>
        <v>0</v>
      </c>
      <c r="AF55" s="134">
        <f>AF10*(1+Dashboard_3!$H$41)^Model_1!AF$46</f>
        <v>0</v>
      </c>
      <c r="AG55" s="134">
        <f>AG10*(1+Dashboard_3!$H$41)^Model_1!AG$46</f>
        <v>0</v>
      </c>
      <c r="AH55" s="134">
        <f>AH10*(1+Dashboard_3!$H$41)^Model_1!AH$46</f>
        <v>0</v>
      </c>
      <c r="AI55" s="134">
        <f>AI10*(1+Dashboard_3!$H$41)^Model_1!AI$46</f>
        <v>0</v>
      </c>
      <c r="AJ55" s="134">
        <f>AJ10*(1+Dashboard_3!$H$41)^Model_1!AJ$46</f>
        <v>0</v>
      </c>
      <c r="AK55" s="134">
        <f>AK10*(1+Dashboard_3!$H$41)^Model_1!AK$46</f>
        <v>0</v>
      </c>
      <c r="AL55" s="134">
        <f>AL10*(1+Dashboard_3!$H$41)^Model_1!AL$46</f>
        <v>0</v>
      </c>
      <c r="AM55" s="134">
        <f>AM10*(1+Dashboard_3!$H$41)^Model_1!AM$46</f>
        <v>0</v>
      </c>
      <c r="AN55" s="134">
        <f>AN10*(1+Dashboard_3!$H$41)^Model_1!AN$46</f>
        <v>0</v>
      </c>
      <c r="AO55" s="134">
        <f>AO10*(1+Dashboard_3!$H$41)^Model_1!AO$46</f>
        <v>0</v>
      </c>
      <c r="AP55" s="134">
        <f>AP10*(1+Dashboard_3!$H$41)^Model_1!AP$46</f>
        <v>0</v>
      </c>
      <c r="AQ55" s="134">
        <f>AQ10*(1+Dashboard_3!$H$41)^Model_1!AQ$46</f>
        <v>0</v>
      </c>
      <c r="AR55" s="134">
        <f>AR10*(1+Dashboard_3!$H$41)^Model_1!AR$46</f>
        <v>0</v>
      </c>
      <c r="AS55" s="134">
        <f>AS10*(1+Dashboard_3!$H$41)^Model_1!AS$46</f>
        <v>0</v>
      </c>
      <c r="AT55" s="134">
        <f>AT10*(1+Dashboard_3!$H$41)^Model_1!AT$46</f>
        <v>0</v>
      </c>
      <c r="AU55" s="134">
        <f>AU10*(1+Dashboard_3!$H$41)^Model_1!AU$46</f>
        <v>0</v>
      </c>
      <c r="AV55" s="134">
        <f>AV10*(1+Dashboard_3!$H$41)^Model_1!AV$46</f>
        <v>0</v>
      </c>
      <c r="AW55" s="134">
        <f>AW10*(1+Dashboard_3!$H$41)^Model_1!AW$46</f>
        <v>0</v>
      </c>
      <c r="AX55" s="134">
        <f>AX10*(1+Dashboard_3!$H$41)^Model_1!AX$46</f>
        <v>0</v>
      </c>
      <c r="AY55" s="134">
        <f>AY10*(1+Dashboard_3!$H$41)^Model_1!AY$46</f>
        <v>0</v>
      </c>
    </row>
    <row r="56" spans="1:51" x14ac:dyDescent="0.45">
      <c r="A56" s="41" t="str">
        <f t="shared" si="17"/>
        <v>Tree protection fencing ($)</v>
      </c>
      <c r="B56" s="134">
        <f>B11</f>
        <v>0</v>
      </c>
      <c r="C56" s="134">
        <f t="shared" ref="C56:AY56" si="18">C11</f>
        <v>0</v>
      </c>
      <c r="D56" s="134">
        <f t="shared" si="18"/>
        <v>0</v>
      </c>
      <c r="E56" s="134">
        <f t="shared" si="18"/>
        <v>0</v>
      </c>
      <c r="F56" s="134">
        <f t="shared" si="18"/>
        <v>0</v>
      </c>
      <c r="G56" s="134">
        <f t="shared" si="18"/>
        <v>0</v>
      </c>
      <c r="H56" s="134">
        <f t="shared" si="18"/>
        <v>0</v>
      </c>
      <c r="I56" s="134">
        <f t="shared" si="18"/>
        <v>0</v>
      </c>
      <c r="J56" s="134">
        <f t="shared" si="18"/>
        <v>0</v>
      </c>
      <c r="K56" s="134">
        <f t="shared" si="18"/>
        <v>0</v>
      </c>
      <c r="L56" s="134">
        <f t="shared" si="18"/>
        <v>0</v>
      </c>
      <c r="M56" s="134">
        <f t="shared" si="18"/>
        <v>0</v>
      </c>
      <c r="N56" s="134">
        <f t="shared" si="18"/>
        <v>0</v>
      </c>
      <c r="O56" s="134">
        <f t="shared" si="18"/>
        <v>0</v>
      </c>
      <c r="P56" s="134">
        <f t="shared" si="18"/>
        <v>0</v>
      </c>
      <c r="Q56" s="134">
        <f t="shared" si="18"/>
        <v>0</v>
      </c>
      <c r="R56" s="134">
        <f t="shared" si="18"/>
        <v>0</v>
      </c>
      <c r="S56" s="134">
        <f t="shared" si="18"/>
        <v>0</v>
      </c>
      <c r="T56" s="134">
        <f t="shared" si="18"/>
        <v>0</v>
      </c>
      <c r="U56" s="134">
        <f t="shared" si="18"/>
        <v>0</v>
      </c>
      <c r="V56" s="134">
        <f t="shared" si="18"/>
        <v>0</v>
      </c>
      <c r="W56" s="134">
        <f t="shared" si="18"/>
        <v>0</v>
      </c>
      <c r="X56" s="134">
        <f t="shared" si="18"/>
        <v>0</v>
      </c>
      <c r="Y56" s="134">
        <f t="shared" si="18"/>
        <v>0</v>
      </c>
      <c r="Z56" s="134">
        <f t="shared" si="18"/>
        <v>0</v>
      </c>
      <c r="AA56" s="134">
        <f t="shared" si="18"/>
        <v>0</v>
      </c>
      <c r="AB56" s="134">
        <f t="shared" si="18"/>
        <v>0</v>
      </c>
      <c r="AC56" s="134">
        <f t="shared" si="18"/>
        <v>0</v>
      </c>
      <c r="AD56" s="134">
        <f t="shared" si="18"/>
        <v>0</v>
      </c>
      <c r="AE56" s="134">
        <f t="shared" si="18"/>
        <v>0</v>
      </c>
      <c r="AF56" s="134">
        <f t="shared" si="18"/>
        <v>0</v>
      </c>
      <c r="AG56" s="134">
        <f t="shared" si="18"/>
        <v>0</v>
      </c>
      <c r="AH56" s="134">
        <f t="shared" si="18"/>
        <v>0</v>
      </c>
      <c r="AI56" s="134">
        <f t="shared" si="18"/>
        <v>0</v>
      </c>
      <c r="AJ56" s="134">
        <f t="shared" si="18"/>
        <v>0</v>
      </c>
      <c r="AK56" s="134">
        <f t="shared" si="18"/>
        <v>0</v>
      </c>
      <c r="AL56" s="134">
        <f t="shared" si="18"/>
        <v>0</v>
      </c>
      <c r="AM56" s="134">
        <f t="shared" si="18"/>
        <v>0</v>
      </c>
      <c r="AN56" s="134">
        <f t="shared" si="18"/>
        <v>0</v>
      </c>
      <c r="AO56" s="134">
        <f t="shared" si="18"/>
        <v>0</v>
      </c>
      <c r="AP56" s="134">
        <f t="shared" si="18"/>
        <v>0</v>
      </c>
      <c r="AQ56" s="134">
        <f t="shared" si="18"/>
        <v>0</v>
      </c>
      <c r="AR56" s="134">
        <f t="shared" si="18"/>
        <v>0</v>
      </c>
      <c r="AS56" s="134">
        <f t="shared" si="18"/>
        <v>0</v>
      </c>
      <c r="AT56" s="134">
        <f t="shared" si="18"/>
        <v>0</v>
      </c>
      <c r="AU56" s="134">
        <f t="shared" si="18"/>
        <v>0</v>
      </c>
      <c r="AV56" s="134">
        <f t="shared" si="18"/>
        <v>0</v>
      </c>
      <c r="AW56" s="134">
        <f t="shared" si="18"/>
        <v>0</v>
      </c>
      <c r="AX56" s="134">
        <f t="shared" si="18"/>
        <v>0</v>
      </c>
      <c r="AY56" s="134">
        <f t="shared" si="18"/>
        <v>0</v>
      </c>
    </row>
    <row r="57" spans="1:51" x14ac:dyDescent="0.45">
      <c r="A57" s="41" t="str">
        <f t="shared" ref="A57:A58" si="19">A12</f>
        <v>User specified cost item 1 ($/ year)</v>
      </c>
      <c r="B57" s="134">
        <f>B12*(1+Dashboard_3!$H$41)^Model_1!B$46</f>
        <v>0</v>
      </c>
      <c r="C57" s="134">
        <f>C12*(1+Dashboard_3!$H$41)^Model_1!C$46</f>
        <v>0</v>
      </c>
      <c r="D57" s="134">
        <f>D12*(1+Dashboard_3!$H$41)^Model_1!D$46</f>
        <v>0</v>
      </c>
      <c r="E57" s="134">
        <f>E12*(1+Dashboard_3!$H$41)^Model_1!E$46</f>
        <v>0</v>
      </c>
      <c r="F57" s="134">
        <f>F12*(1+Dashboard_3!$H$41)^Model_1!F$46</f>
        <v>0</v>
      </c>
      <c r="G57" s="134">
        <f>G12*(1+Dashboard_3!$H$41)^Model_1!G$46</f>
        <v>0</v>
      </c>
      <c r="H57" s="134">
        <f>H12*(1+Dashboard_3!$H$41)^Model_1!H$46</f>
        <v>0</v>
      </c>
      <c r="I57" s="134">
        <f>I12*(1+Dashboard_3!$H$41)^Model_1!I$46</f>
        <v>0</v>
      </c>
      <c r="J57" s="134">
        <f>J12*(1+Dashboard_3!$H$41)^Model_1!J$46</f>
        <v>0</v>
      </c>
      <c r="K57" s="134">
        <f>K12*(1+Dashboard_3!$H$41)^Model_1!K$46</f>
        <v>0</v>
      </c>
      <c r="L57" s="134">
        <f>L12*(1+Dashboard_3!$H$41)^Model_1!L$46</f>
        <v>0</v>
      </c>
      <c r="M57" s="134">
        <f>M12*(1+Dashboard_3!$H$41)^Model_1!M$46</f>
        <v>0</v>
      </c>
      <c r="N57" s="134">
        <f>N12*(1+Dashboard_3!$H$41)^Model_1!N$46</f>
        <v>0</v>
      </c>
      <c r="O57" s="134">
        <f>O12*(1+Dashboard_3!$H$41)^Model_1!O$46</f>
        <v>0</v>
      </c>
      <c r="P57" s="134">
        <f>P12*(1+Dashboard_3!$H$41)^Model_1!P$46</f>
        <v>0</v>
      </c>
      <c r="Q57" s="134">
        <f>Q12*(1+Dashboard_3!$H$41)^Model_1!Q$46</f>
        <v>0</v>
      </c>
      <c r="R57" s="134">
        <f>R12*(1+Dashboard_3!$H$41)^Model_1!R$46</f>
        <v>0</v>
      </c>
      <c r="S57" s="134">
        <f>S12*(1+Dashboard_3!$H$41)^Model_1!S$46</f>
        <v>0</v>
      </c>
      <c r="T57" s="134">
        <f>T12*(1+Dashboard_3!$H$41)^Model_1!T$46</f>
        <v>0</v>
      </c>
      <c r="U57" s="134">
        <f>U12*(1+Dashboard_3!$H$41)^Model_1!U$46</f>
        <v>0</v>
      </c>
      <c r="V57" s="134">
        <f>V12*(1+Dashboard_3!$H$41)^Model_1!V$46</f>
        <v>0</v>
      </c>
      <c r="W57" s="134">
        <f>W12*(1+Dashboard_3!$H$41)^Model_1!W$46</f>
        <v>0</v>
      </c>
      <c r="X57" s="134">
        <f>X12*(1+Dashboard_3!$H$41)^Model_1!X$46</f>
        <v>0</v>
      </c>
      <c r="Y57" s="134">
        <f>Y12*(1+Dashboard_3!$H$41)^Model_1!Y$46</f>
        <v>0</v>
      </c>
      <c r="Z57" s="134">
        <f>Z12*(1+Dashboard_3!$H$41)^Model_1!Z$46</f>
        <v>0</v>
      </c>
      <c r="AA57" s="134">
        <f>AA12*(1+Dashboard_3!$H$41)^Model_1!AA$46</f>
        <v>0</v>
      </c>
      <c r="AB57" s="134">
        <f>AB12*(1+Dashboard_3!$H$41)^Model_1!AB$46</f>
        <v>0</v>
      </c>
      <c r="AC57" s="134">
        <f>AC12*(1+Dashboard_3!$H$41)^Model_1!AC$46</f>
        <v>0</v>
      </c>
      <c r="AD57" s="134">
        <f>AD12*(1+Dashboard_3!$H$41)^Model_1!AD$46</f>
        <v>0</v>
      </c>
      <c r="AE57" s="134">
        <f>AE12*(1+Dashboard_3!$H$41)^Model_1!AE$46</f>
        <v>0</v>
      </c>
      <c r="AF57" s="134">
        <f>AF12*(1+Dashboard_3!$H$41)^Model_1!AF$46</f>
        <v>0</v>
      </c>
      <c r="AG57" s="134">
        <f>AG12*(1+Dashboard_3!$H$41)^Model_1!AG$46</f>
        <v>0</v>
      </c>
      <c r="AH57" s="134">
        <f>AH12*(1+Dashboard_3!$H$41)^Model_1!AH$46</f>
        <v>0</v>
      </c>
      <c r="AI57" s="134">
        <f>AI12*(1+Dashboard_3!$H$41)^Model_1!AI$46</f>
        <v>0</v>
      </c>
      <c r="AJ57" s="134">
        <f>AJ12*(1+Dashboard_3!$H$41)^Model_1!AJ$46</f>
        <v>0</v>
      </c>
      <c r="AK57" s="134">
        <f>AK12*(1+Dashboard_3!$H$41)^Model_1!AK$46</f>
        <v>0</v>
      </c>
      <c r="AL57" s="134">
        <f>AL12*(1+Dashboard_3!$H$41)^Model_1!AL$46</f>
        <v>0</v>
      </c>
      <c r="AM57" s="134">
        <f>AM12*(1+Dashboard_3!$H$41)^Model_1!AM$46</f>
        <v>0</v>
      </c>
      <c r="AN57" s="134">
        <f>AN12*(1+Dashboard_3!$H$41)^Model_1!AN$46</f>
        <v>0</v>
      </c>
      <c r="AO57" s="134">
        <f>AO12*(1+Dashboard_3!$H$41)^Model_1!AO$46</f>
        <v>0</v>
      </c>
      <c r="AP57" s="134">
        <f>AP12*(1+Dashboard_3!$H$41)^Model_1!AP$46</f>
        <v>0</v>
      </c>
      <c r="AQ57" s="134">
        <f>AQ12*(1+Dashboard_3!$H$41)^Model_1!AQ$46</f>
        <v>0</v>
      </c>
      <c r="AR57" s="134">
        <f>AR12*(1+Dashboard_3!$H$41)^Model_1!AR$46</f>
        <v>0</v>
      </c>
      <c r="AS57" s="134">
        <f>AS12*(1+Dashboard_3!$H$41)^Model_1!AS$46</f>
        <v>0</v>
      </c>
      <c r="AT57" s="134">
        <f>AT12*(1+Dashboard_3!$H$41)^Model_1!AT$46</f>
        <v>0</v>
      </c>
      <c r="AU57" s="134">
        <f>AU12*(1+Dashboard_3!$H$41)^Model_1!AU$46</f>
        <v>0</v>
      </c>
      <c r="AV57" s="134">
        <f>AV12*(1+Dashboard_3!$H$41)^Model_1!AV$46</f>
        <v>0</v>
      </c>
      <c r="AW57" s="134">
        <f>AW12*(1+Dashboard_3!$H$41)^Model_1!AW$46</f>
        <v>0</v>
      </c>
      <c r="AX57" s="134">
        <f>AX12*(1+Dashboard_3!$H$41)^Model_1!AX$46</f>
        <v>0</v>
      </c>
      <c r="AY57" s="134">
        <f>AY12*(1+Dashboard_3!$H$41)^Model_1!AY$46</f>
        <v>0</v>
      </c>
    </row>
    <row r="58" spans="1:51" x14ac:dyDescent="0.45">
      <c r="A58" s="41" t="str">
        <f t="shared" si="19"/>
        <v>User specified cost item 2 ($/ year)</v>
      </c>
      <c r="B58" s="134">
        <f>B13*(1+Dashboard_3!$H$41)^Model_1!B$46</f>
        <v>0</v>
      </c>
      <c r="C58" s="134">
        <f>C13*(1+Dashboard_3!$H$41)^Model_1!C$46</f>
        <v>0</v>
      </c>
      <c r="D58" s="134">
        <f>D13*(1+Dashboard_3!$H$41)^Model_1!D$46</f>
        <v>0</v>
      </c>
      <c r="E58" s="134">
        <f>E13*(1+Dashboard_3!$H$41)^Model_1!E$46</f>
        <v>0</v>
      </c>
      <c r="F58" s="134">
        <f>F13*(1+Dashboard_3!$H$41)^Model_1!F$46</f>
        <v>0</v>
      </c>
      <c r="G58" s="134">
        <f>G13*(1+Dashboard_3!$H$41)^Model_1!G$46</f>
        <v>0</v>
      </c>
      <c r="H58" s="134">
        <f>H13*(1+Dashboard_3!$H$41)^Model_1!H$46</f>
        <v>0</v>
      </c>
      <c r="I58" s="134">
        <f>I13*(1+Dashboard_3!$H$41)^Model_1!I$46</f>
        <v>0</v>
      </c>
      <c r="J58" s="134">
        <f>J13*(1+Dashboard_3!$H$41)^Model_1!J$46</f>
        <v>0</v>
      </c>
      <c r="K58" s="134">
        <f>K13*(1+Dashboard_3!$H$41)^Model_1!K$46</f>
        <v>0</v>
      </c>
      <c r="L58" s="134">
        <f>L13*(1+Dashboard_3!$H$41)^Model_1!L$46</f>
        <v>0</v>
      </c>
      <c r="M58" s="134">
        <f>M13*(1+Dashboard_3!$H$41)^Model_1!M$46</f>
        <v>0</v>
      </c>
      <c r="N58" s="134">
        <f>N13*(1+Dashboard_3!$H$41)^Model_1!N$46</f>
        <v>0</v>
      </c>
      <c r="O58" s="134">
        <f>O13*(1+Dashboard_3!$H$41)^Model_1!O$46</f>
        <v>0</v>
      </c>
      <c r="P58" s="134">
        <f>P13*(1+Dashboard_3!$H$41)^Model_1!P$46</f>
        <v>0</v>
      </c>
      <c r="Q58" s="134">
        <f>Q13*(1+Dashboard_3!$H$41)^Model_1!Q$46</f>
        <v>0</v>
      </c>
      <c r="R58" s="134">
        <f>R13*(1+Dashboard_3!$H$41)^Model_1!R$46</f>
        <v>0</v>
      </c>
      <c r="S58" s="134">
        <f>S13*(1+Dashboard_3!$H$41)^Model_1!S$46</f>
        <v>0</v>
      </c>
      <c r="T58" s="134">
        <f>T13*(1+Dashboard_3!$H$41)^Model_1!T$46</f>
        <v>0</v>
      </c>
      <c r="U58" s="134">
        <f>U13*(1+Dashboard_3!$H$41)^Model_1!U$46</f>
        <v>0</v>
      </c>
      <c r="V58" s="134">
        <f>V13*(1+Dashboard_3!$H$41)^Model_1!V$46</f>
        <v>0</v>
      </c>
      <c r="W58" s="134">
        <f>W13*(1+Dashboard_3!$H$41)^Model_1!W$46</f>
        <v>0</v>
      </c>
      <c r="X58" s="134">
        <f>X13*(1+Dashboard_3!$H$41)^Model_1!X$46</f>
        <v>0</v>
      </c>
      <c r="Y58" s="134">
        <f>Y13*(1+Dashboard_3!$H$41)^Model_1!Y$46</f>
        <v>0</v>
      </c>
      <c r="Z58" s="134">
        <f>Z13*(1+Dashboard_3!$H$41)^Model_1!Z$46</f>
        <v>0</v>
      </c>
      <c r="AA58" s="134">
        <f>AA13*(1+Dashboard_3!$H$41)^Model_1!AA$46</f>
        <v>0</v>
      </c>
      <c r="AB58" s="134">
        <f>AB13*(1+Dashboard_3!$H$41)^Model_1!AB$46</f>
        <v>0</v>
      </c>
      <c r="AC58" s="134">
        <f>AC13*(1+Dashboard_3!$H$41)^Model_1!AC$46</f>
        <v>0</v>
      </c>
      <c r="AD58" s="134">
        <f>AD13*(1+Dashboard_3!$H$41)^Model_1!AD$46</f>
        <v>0</v>
      </c>
      <c r="AE58" s="134">
        <f>AE13*(1+Dashboard_3!$H$41)^Model_1!AE$46</f>
        <v>0</v>
      </c>
      <c r="AF58" s="134">
        <f>AF13*(1+Dashboard_3!$H$41)^Model_1!AF$46</f>
        <v>0</v>
      </c>
      <c r="AG58" s="134">
        <f>AG13*(1+Dashboard_3!$H$41)^Model_1!AG$46</f>
        <v>0</v>
      </c>
      <c r="AH58" s="134">
        <f>AH13*(1+Dashboard_3!$H$41)^Model_1!AH$46</f>
        <v>0</v>
      </c>
      <c r="AI58" s="134">
        <f>AI13*(1+Dashboard_3!$H$41)^Model_1!AI$46</f>
        <v>0</v>
      </c>
      <c r="AJ58" s="134">
        <f>AJ13*(1+Dashboard_3!$H$41)^Model_1!AJ$46</f>
        <v>0</v>
      </c>
      <c r="AK58" s="134">
        <f>AK13*(1+Dashboard_3!$H$41)^Model_1!AK$46</f>
        <v>0</v>
      </c>
      <c r="AL58" s="134">
        <f>AL13*(1+Dashboard_3!$H$41)^Model_1!AL$46</f>
        <v>0</v>
      </c>
      <c r="AM58" s="134">
        <f>AM13*(1+Dashboard_3!$H$41)^Model_1!AM$46</f>
        <v>0</v>
      </c>
      <c r="AN58" s="134">
        <f>AN13*(1+Dashboard_3!$H$41)^Model_1!AN$46</f>
        <v>0</v>
      </c>
      <c r="AO58" s="134">
        <f>AO13*(1+Dashboard_3!$H$41)^Model_1!AO$46</f>
        <v>0</v>
      </c>
      <c r="AP58" s="134">
        <f>AP13*(1+Dashboard_3!$H$41)^Model_1!AP$46</f>
        <v>0</v>
      </c>
      <c r="AQ58" s="134">
        <f>AQ13*(1+Dashboard_3!$H$41)^Model_1!AQ$46</f>
        <v>0</v>
      </c>
      <c r="AR58" s="134">
        <f>AR13*(1+Dashboard_3!$H$41)^Model_1!AR$46</f>
        <v>0</v>
      </c>
      <c r="AS58" s="134">
        <f>AS13*(1+Dashboard_3!$H$41)^Model_1!AS$46</f>
        <v>0</v>
      </c>
      <c r="AT58" s="134">
        <f>AT13*(1+Dashboard_3!$H$41)^Model_1!AT$46</f>
        <v>0</v>
      </c>
      <c r="AU58" s="134">
        <f>AU13*(1+Dashboard_3!$H$41)^Model_1!AU$46</f>
        <v>0</v>
      </c>
      <c r="AV58" s="134">
        <f>AV13*(1+Dashboard_3!$H$41)^Model_1!AV$46</f>
        <v>0</v>
      </c>
      <c r="AW58" s="134">
        <f>AW13*(1+Dashboard_3!$H$41)^Model_1!AW$46</f>
        <v>0</v>
      </c>
      <c r="AX58" s="134">
        <f>AX13*(1+Dashboard_3!$H$41)^Model_1!AX$46</f>
        <v>0</v>
      </c>
      <c r="AY58" s="134">
        <f>AY13*(1+Dashboard_3!$H$41)^Model_1!AY$46</f>
        <v>0</v>
      </c>
    </row>
    <row r="59" spans="1:51" x14ac:dyDescent="0.45">
      <c r="A59" s="41" t="str">
        <f t="shared" ref="A59:A65" si="20">A18</f>
        <v>Maintenance in first 10 years ($)</v>
      </c>
      <c r="B59" s="134">
        <f>B18*(1+Dashboard_3!$H$41)^Model_1!B$46</f>
        <v>564.90292281149993</v>
      </c>
      <c r="C59" s="134">
        <f>C18*(1+Dashboard_3!$H$41)^Model_1!C$46</f>
        <v>564.90292281149993</v>
      </c>
      <c r="D59" s="134">
        <f>D18*(1+Dashboard_3!$H$41)^Model_1!D$46</f>
        <v>564.90292281149993</v>
      </c>
      <c r="E59" s="134">
        <f>E18*(1+Dashboard_3!$H$41)^Model_1!E$46</f>
        <v>564.90292281149993</v>
      </c>
      <c r="F59" s="134">
        <f>F18*(1+Dashboard_3!$H$41)^Model_1!F$46</f>
        <v>564.90292281149993</v>
      </c>
      <c r="G59" s="134">
        <f>G18*(1+Dashboard_3!$H$41)^Model_1!G$46</f>
        <v>564.90292281149993</v>
      </c>
      <c r="H59" s="134">
        <f>H18*(1+Dashboard_3!$H$41)^Model_1!H$46</f>
        <v>564.90292281149993</v>
      </c>
      <c r="I59" s="134">
        <f>I18*(1+Dashboard_3!$H$41)^Model_1!I$46</f>
        <v>564.90292281149993</v>
      </c>
      <c r="J59" s="134">
        <f>J18*(1+Dashboard_3!$H$41)^Model_1!J$46</f>
        <v>564.90292281149993</v>
      </c>
      <c r="K59" s="134">
        <f>K18*(1+Dashboard_3!$H$41)^Model_1!K$46</f>
        <v>0</v>
      </c>
      <c r="L59" s="134">
        <f>L18*(1+Dashboard_3!$H$41)^Model_1!L$46</f>
        <v>0</v>
      </c>
      <c r="M59" s="134">
        <f>M18*(1+Dashboard_3!$H$41)^Model_1!M$46</f>
        <v>0</v>
      </c>
      <c r="N59" s="134">
        <f>N18*(1+Dashboard_3!$H$41)^Model_1!N$46</f>
        <v>0</v>
      </c>
      <c r="O59" s="134">
        <f>O18*(1+Dashboard_3!$H$41)^Model_1!O$46</f>
        <v>0</v>
      </c>
      <c r="P59" s="134">
        <f>P18*(1+Dashboard_3!$H$41)^Model_1!P$46</f>
        <v>0</v>
      </c>
      <c r="Q59" s="134">
        <f>Q18*(1+Dashboard_3!$H$41)^Model_1!Q$46</f>
        <v>0</v>
      </c>
      <c r="R59" s="134">
        <f>R18*(1+Dashboard_3!$H$41)^Model_1!R$46</f>
        <v>0</v>
      </c>
      <c r="S59" s="134">
        <f>S18*(1+Dashboard_3!$H$41)^Model_1!S$46</f>
        <v>0</v>
      </c>
      <c r="T59" s="134">
        <f>T18*(1+Dashboard_3!$H$41)^Model_1!T$46</f>
        <v>0</v>
      </c>
      <c r="U59" s="134">
        <f>U18*(1+Dashboard_3!$H$41)^Model_1!U$46</f>
        <v>0</v>
      </c>
      <c r="V59" s="134">
        <f>V18*(1+Dashboard_3!$H$41)^Model_1!V$46</f>
        <v>0</v>
      </c>
      <c r="W59" s="134">
        <f>W18*(1+Dashboard_3!$H$41)^Model_1!W$46</f>
        <v>0</v>
      </c>
      <c r="X59" s="134">
        <f>X18*(1+Dashboard_3!$H$41)^Model_1!X$46</f>
        <v>0</v>
      </c>
      <c r="Y59" s="134">
        <f>Y18*(1+Dashboard_3!$H$41)^Model_1!Y$46</f>
        <v>0</v>
      </c>
      <c r="Z59" s="134">
        <f>Z18*(1+Dashboard_3!$H$41)^Model_1!Z$46</f>
        <v>0</v>
      </c>
      <c r="AA59" s="134">
        <f>AA18*(1+Dashboard_3!$H$41)^Model_1!AA$46</f>
        <v>0</v>
      </c>
      <c r="AB59" s="134">
        <f>AB18*(1+Dashboard_3!$H$41)^Model_1!AB$46</f>
        <v>0</v>
      </c>
      <c r="AC59" s="134">
        <f>AC18*(1+Dashboard_3!$H$41)^Model_1!AC$46</f>
        <v>0</v>
      </c>
      <c r="AD59" s="134">
        <f>AD18*(1+Dashboard_3!$H$41)^Model_1!AD$46</f>
        <v>0</v>
      </c>
      <c r="AE59" s="134">
        <f>AE18*(1+Dashboard_3!$H$41)^Model_1!AE$46</f>
        <v>0</v>
      </c>
      <c r="AF59" s="134">
        <f>AF18*(1+Dashboard_3!$H$41)^Model_1!AF$46</f>
        <v>0</v>
      </c>
      <c r="AG59" s="134">
        <f>AG18*(1+Dashboard_3!$H$41)^Model_1!AG$46</f>
        <v>0</v>
      </c>
      <c r="AH59" s="134">
        <f>AH18*(1+Dashboard_3!$H$41)^Model_1!AH$46</f>
        <v>0</v>
      </c>
      <c r="AI59" s="134">
        <f>AI18*(1+Dashboard_3!$H$41)^Model_1!AI$46</f>
        <v>0</v>
      </c>
      <c r="AJ59" s="134">
        <f>AJ18*(1+Dashboard_3!$H$41)^Model_1!AJ$46</f>
        <v>0</v>
      </c>
      <c r="AK59" s="134">
        <f>AK18*(1+Dashboard_3!$H$41)^Model_1!AK$46</f>
        <v>0</v>
      </c>
      <c r="AL59" s="134">
        <f>AL18*(1+Dashboard_3!$H$41)^Model_1!AL$46</f>
        <v>0</v>
      </c>
      <c r="AM59" s="134">
        <f>AM18*(1+Dashboard_3!$H$41)^Model_1!AM$46</f>
        <v>0</v>
      </c>
      <c r="AN59" s="134">
        <f>AN18*(1+Dashboard_3!$H$41)^Model_1!AN$46</f>
        <v>0</v>
      </c>
      <c r="AO59" s="134">
        <f>AO18*(1+Dashboard_3!$H$41)^Model_1!AO$46</f>
        <v>0</v>
      </c>
      <c r="AP59" s="134">
        <f>AP18*(1+Dashboard_3!$H$41)^Model_1!AP$46</f>
        <v>0</v>
      </c>
      <c r="AQ59" s="134">
        <f>AQ18*(1+Dashboard_3!$H$41)^Model_1!AQ$46</f>
        <v>0</v>
      </c>
      <c r="AR59" s="134">
        <f>AR18*(1+Dashboard_3!$H$41)^Model_1!AR$46</f>
        <v>0</v>
      </c>
      <c r="AS59" s="134">
        <f>AS18*(1+Dashboard_3!$H$41)^Model_1!AS$46</f>
        <v>0</v>
      </c>
      <c r="AT59" s="134">
        <f>AT18*(1+Dashboard_3!$H$41)^Model_1!AT$46</f>
        <v>0</v>
      </c>
      <c r="AU59" s="134">
        <f>AU18*(1+Dashboard_3!$H$41)^Model_1!AU$46</f>
        <v>0</v>
      </c>
      <c r="AV59" s="134">
        <f>AV18*(1+Dashboard_3!$H$41)^Model_1!AV$46</f>
        <v>0</v>
      </c>
      <c r="AW59" s="134">
        <f>AW18*(1+Dashboard_3!$H$41)^Model_1!AW$46</f>
        <v>0</v>
      </c>
      <c r="AX59" s="134">
        <f>AX18*(1+Dashboard_3!$H$41)^Model_1!AX$46</f>
        <v>0</v>
      </c>
      <c r="AY59" s="134">
        <f>AY18*(1+Dashboard_3!$H$41)^Model_1!AY$46</f>
        <v>0</v>
      </c>
    </row>
    <row r="60" spans="1:51" x14ac:dyDescent="0.45">
      <c r="A60" s="41" t="str">
        <f t="shared" si="20"/>
        <v>Maintenance after year 10 ($)</v>
      </c>
      <c r="B60" s="134">
        <f>B19*(1+Dashboard_3!$H$41)^Model_1!B$46</f>
        <v>0</v>
      </c>
      <c r="C60" s="134">
        <f>C19*(1+Dashboard_3!$H$41)^Model_1!C$46</f>
        <v>0</v>
      </c>
      <c r="D60" s="134">
        <f>D19*(1+Dashboard_3!$H$41)^Model_1!D$46</f>
        <v>0</v>
      </c>
      <c r="E60" s="134">
        <f>E19*(1+Dashboard_3!$H$41)^Model_1!E$46</f>
        <v>0</v>
      </c>
      <c r="F60" s="134">
        <f>F19*(1+Dashboard_3!$H$41)^Model_1!F$46</f>
        <v>0</v>
      </c>
      <c r="G60" s="134">
        <f>G19*(1+Dashboard_3!$H$41)^Model_1!G$46</f>
        <v>0</v>
      </c>
      <c r="H60" s="134">
        <f>H19*(1+Dashboard_3!$H$41)^Model_1!H$46</f>
        <v>0</v>
      </c>
      <c r="I60" s="134">
        <f>I19*(1+Dashboard_3!$H$41)^Model_1!I$46</f>
        <v>0</v>
      </c>
      <c r="J60" s="134">
        <f>J19*(1+Dashboard_3!$H$41)^Model_1!J$46</f>
        <v>0</v>
      </c>
      <c r="K60" s="134">
        <f>K19*(1+Dashboard_3!$H$41)^Model_1!K$46</f>
        <v>137.28642864299997</v>
      </c>
      <c r="L60" s="134">
        <f>L19*(1+Dashboard_3!$H$41)^Model_1!L$46</f>
        <v>137.28642864299997</v>
      </c>
      <c r="M60" s="134">
        <f>M19*(1+Dashboard_3!$H$41)^Model_1!M$46</f>
        <v>137.28642864299997</v>
      </c>
      <c r="N60" s="134">
        <f>N19*(1+Dashboard_3!$H$41)^Model_1!N$46</f>
        <v>137.28642864299997</v>
      </c>
      <c r="O60" s="134">
        <f>O19*(1+Dashboard_3!$H$41)^Model_1!O$46</f>
        <v>137.28642864299997</v>
      </c>
      <c r="P60" s="134">
        <f>P19*(1+Dashboard_3!$H$41)^Model_1!P$46</f>
        <v>137.28642864299997</v>
      </c>
      <c r="Q60" s="134">
        <f>Q19*(1+Dashboard_3!$H$41)^Model_1!Q$46</f>
        <v>137.28642864299997</v>
      </c>
      <c r="R60" s="134">
        <f>R19*(1+Dashboard_3!$H$41)^Model_1!R$46</f>
        <v>137.28642864299997</v>
      </c>
      <c r="S60" s="134">
        <f>S19*(1+Dashboard_3!$H$41)^Model_1!S$46</f>
        <v>137.28642864299997</v>
      </c>
      <c r="T60" s="134">
        <f>T19*(1+Dashboard_3!$H$41)^Model_1!T$46</f>
        <v>137.28642864299997</v>
      </c>
      <c r="U60" s="134">
        <f>U19*(1+Dashboard_3!$H$41)^Model_1!U$46</f>
        <v>137.28642864299997</v>
      </c>
      <c r="V60" s="134">
        <f>V19*(1+Dashboard_3!$H$41)^Model_1!V$46</f>
        <v>137.28642864299997</v>
      </c>
      <c r="W60" s="134">
        <f>W19*(1+Dashboard_3!$H$41)^Model_1!W$46</f>
        <v>137.28642864299997</v>
      </c>
      <c r="X60" s="134">
        <f>X19*(1+Dashboard_3!$H$41)^Model_1!X$46</f>
        <v>137.28642864299997</v>
      </c>
      <c r="Y60" s="134">
        <f>Y19*(1+Dashboard_3!$H$41)^Model_1!Y$46</f>
        <v>137.28642864299997</v>
      </c>
      <c r="Z60" s="134">
        <f>Z19*(1+Dashboard_3!$H$41)^Model_1!Z$46</f>
        <v>137.28642864299997</v>
      </c>
      <c r="AA60" s="134">
        <f>AA19*(1+Dashboard_3!$H$41)^Model_1!AA$46</f>
        <v>137.28642864299997</v>
      </c>
      <c r="AB60" s="134">
        <f>AB19*(1+Dashboard_3!$H$41)^Model_1!AB$46</f>
        <v>137.28642864299997</v>
      </c>
      <c r="AC60" s="134">
        <f>AC19*(1+Dashboard_3!$H$41)^Model_1!AC$46</f>
        <v>137.28642864299997</v>
      </c>
      <c r="AD60" s="134">
        <f>AD19*(1+Dashboard_3!$H$41)^Model_1!AD$46</f>
        <v>137.28642864299997</v>
      </c>
      <c r="AE60" s="134">
        <f>AE19*(1+Dashboard_3!$H$41)^Model_1!AE$46</f>
        <v>137.28642864299997</v>
      </c>
      <c r="AF60" s="134">
        <f>AF19*(1+Dashboard_3!$H$41)^Model_1!AF$46</f>
        <v>137.28642864299997</v>
      </c>
      <c r="AG60" s="134">
        <f>AG19*(1+Dashboard_3!$H$41)^Model_1!AG$46</f>
        <v>137.28642864299997</v>
      </c>
      <c r="AH60" s="134">
        <f>AH19*(1+Dashboard_3!$H$41)^Model_1!AH$46</f>
        <v>137.28642864299997</v>
      </c>
      <c r="AI60" s="134">
        <f>AI19*(1+Dashboard_3!$H$41)^Model_1!AI$46</f>
        <v>137.28642864299997</v>
      </c>
      <c r="AJ60" s="134">
        <f>AJ19*(1+Dashboard_3!$H$41)^Model_1!AJ$46</f>
        <v>137.28642864299997</v>
      </c>
      <c r="AK60" s="134">
        <f>AK19*(1+Dashboard_3!$H$41)^Model_1!AK$46</f>
        <v>137.28642864299997</v>
      </c>
      <c r="AL60" s="134">
        <f>AL19*(1+Dashboard_3!$H$41)^Model_1!AL$46</f>
        <v>137.28642864299997</v>
      </c>
      <c r="AM60" s="134">
        <f>AM19*(1+Dashboard_3!$H$41)^Model_1!AM$46</f>
        <v>137.28642864299997</v>
      </c>
      <c r="AN60" s="134">
        <f>AN19*(1+Dashboard_3!$H$41)^Model_1!AN$46</f>
        <v>137.28642864299997</v>
      </c>
      <c r="AO60" s="134">
        <f>AO19*(1+Dashboard_3!$H$41)^Model_1!AO$46</f>
        <v>137.28642864299997</v>
      </c>
      <c r="AP60" s="134">
        <f>AP19*(1+Dashboard_3!$H$41)^Model_1!AP$46</f>
        <v>137.28642864299997</v>
      </c>
      <c r="AQ60" s="134">
        <f>AQ19*(1+Dashboard_3!$H$41)^Model_1!AQ$46</f>
        <v>137.28642864299997</v>
      </c>
      <c r="AR60" s="134">
        <f>AR19*(1+Dashboard_3!$H$41)^Model_1!AR$46</f>
        <v>137.28642864299997</v>
      </c>
      <c r="AS60" s="134">
        <f>AS19*(1+Dashboard_3!$H$41)^Model_1!AS$46</f>
        <v>137.28642864299997</v>
      </c>
      <c r="AT60" s="134">
        <f>AT19*(1+Dashboard_3!$H$41)^Model_1!AT$46</f>
        <v>137.28642864299997</v>
      </c>
      <c r="AU60" s="134">
        <f>AU19*(1+Dashboard_3!$H$41)^Model_1!AU$46</f>
        <v>137.28642864299997</v>
      </c>
      <c r="AV60" s="134">
        <f>AV19*(1+Dashboard_3!$H$41)^Model_1!AV$46</f>
        <v>137.28642864299997</v>
      </c>
      <c r="AW60" s="134">
        <f>AW19*(1+Dashboard_3!$H$41)^Model_1!AW$46</f>
        <v>137.28642864299997</v>
      </c>
      <c r="AX60" s="134">
        <f>AX19*(1+Dashboard_3!$H$41)^Model_1!AX$46</f>
        <v>137.28642864299997</v>
      </c>
      <c r="AY60" s="134">
        <f>AY19*(1+Dashboard_3!$H$41)^Model_1!AY$46</f>
        <v>137.28642864299997</v>
      </c>
    </row>
    <row r="61" spans="1:51" x14ac:dyDescent="0.45">
      <c r="A61" s="41" t="str">
        <f t="shared" si="20"/>
        <v>GIS mapping and inventory assessment ($)</v>
      </c>
      <c r="B61" s="134">
        <f>B20*(1+Dashboard_3!$H$41)^Model_1!B$46</f>
        <v>7500</v>
      </c>
      <c r="C61" s="134">
        <f>C20*(1+Dashboard_3!$H$41)^Model_1!C$46</f>
        <v>0</v>
      </c>
      <c r="D61" s="134">
        <f>D20*(1+Dashboard_3!$H$41)^Model_1!D$46</f>
        <v>0</v>
      </c>
      <c r="E61" s="134">
        <f>E20*(1+Dashboard_3!$H$41)^Model_1!E$46</f>
        <v>0</v>
      </c>
      <c r="F61" s="134">
        <f>F20*(1+Dashboard_3!$H$41)^Model_1!F$46</f>
        <v>0</v>
      </c>
      <c r="G61" s="134">
        <f>G20*(1+Dashboard_3!$H$41)^Model_1!G$46</f>
        <v>0</v>
      </c>
      <c r="H61" s="134">
        <f>H20*(1+Dashboard_3!$H$41)^Model_1!H$46</f>
        <v>0</v>
      </c>
      <c r="I61" s="134">
        <f>I20*(1+Dashboard_3!$H$41)^Model_1!I$46</f>
        <v>0</v>
      </c>
      <c r="J61" s="134">
        <f>J20*(1+Dashboard_3!$H$41)^Model_1!J$46</f>
        <v>0</v>
      </c>
      <c r="K61" s="134">
        <f>K20*(1+Dashboard_3!$H$41)^Model_1!K$46</f>
        <v>0</v>
      </c>
      <c r="L61" s="134">
        <f>L20*(1+Dashboard_3!$H$41)^Model_1!L$46</f>
        <v>0</v>
      </c>
      <c r="M61" s="134">
        <f>M20*(1+Dashboard_3!$H$41)^Model_1!M$46</f>
        <v>0</v>
      </c>
      <c r="N61" s="134">
        <f>N20*(1+Dashboard_3!$H$41)^Model_1!N$46</f>
        <v>0</v>
      </c>
      <c r="O61" s="134">
        <f>O20*(1+Dashboard_3!$H$41)^Model_1!O$46</f>
        <v>0</v>
      </c>
      <c r="P61" s="134">
        <f>P20*(1+Dashboard_3!$H$41)^Model_1!P$46</f>
        <v>0</v>
      </c>
      <c r="Q61" s="134">
        <f>Q20*(1+Dashboard_3!$H$41)^Model_1!Q$46</f>
        <v>0</v>
      </c>
      <c r="R61" s="134">
        <f>R20*(1+Dashboard_3!$H$41)^Model_1!R$46</f>
        <v>0</v>
      </c>
      <c r="S61" s="134">
        <f>S20*(1+Dashboard_3!$H$41)^Model_1!S$46</f>
        <v>0</v>
      </c>
      <c r="T61" s="134">
        <f>T20*(1+Dashboard_3!$H$41)^Model_1!T$46</f>
        <v>0</v>
      </c>
      <c r="U61" s="134">
        <f>U20*(1+Dashboard_3!$H$41)^Model_1!U$46</f>
        <v>0</v>
      </c>
      <c r="V61" s="134">
        <f>V20*(1+Dashboard_3!$H$41)^Model_1!V$46</f>
        <v>0</v>
      </c>
      <c r="W61" s="134">
        <f>W20*(1+Dashboard_3!$H$41)^Model_1!W$46</f>
        <v>0</v>
      </c>
      <c r="X61" s="134">
        <f>X20*(1+Dashboard_3!$H$41)^Model_1!X$46</f>
        <v>0</v>
      </c>
      <c r="Y61" s="134">
        <f>Y20*(1+Dashboard_3!$H$41)^Model_1!Y$46</f>
        <v>0</v>
      </c>
      <c r="Z61" s="134">
        <f>Z20*(1+Dashboard_3!$H$41)^Model_1!Z$46</f>
        <v>0</v>
      </c>
      <c r="AA61" s="134">
        <f>AA20*(1+Dashboard_3!$H$41)^Model_1!AA$46</f>
        <v>0</v>
      </c>
      <c r="AB61" s="134">
        <f>AB20*(1+Dashboard_3!$H$41)^Model_1!AB$46</f>
        <v>0</v>
      </c>
      <c r="AC61" s="134">
        <f>AC20*(1+Dashboard_3!$H$41)^Model_1!AC$46</f>
        <v>0</v>
      </c>
      <c r="AD61" s="134">
        <f>AD20*(1+Dashboard_3!$H$41)^Model_1!AD$46</f>
        <v>0</v>
      </c>
      <c r="AE61" s="134">
        <f>AE20*(1+Dashboard_3!$H$41)^Model_1!AE$46</f>
        <v>0</v>
      </c>
      <c r="AF61" s="134">
        <f>AF20*(1+Dashboard_3!$H$41)^Model_1!AF$46</f>
        <v>0</v>
      </c>
      <c r="AG61" s="134">
        <f>AG20*(1+Dashboard_3!$H$41)^Model_1!AG$46</f>
        <v>0</v>
      </c>
      <c r="AH61" s="134">
        <f>AH20*(1+Dashboard_3!$H$41)^Model_1!AH$46</f>
        <v>0</v>
      </c>
      <c r="AI61" s="134">
        <f>AI20*(1+Dashboard_3!$H$41)^Model_1!AI$46</f>
        <v>0</v>
      </c>
      <c r="AJ61" s="134">
        <f>AJ20*(1+Dashboard_3!$H$41)^Model_1!AJ$46</f>
        <v>0</v>
      </c>
      <c r="AK61" s="134">
        <f>AK20*(1+Dashboard_3!$H$41)^Model_1!AK$46</f>
        <v>0</v>
      </c>
      <c r="AL61" s="134">
        <f>AL20*(1+Dashboard_3!$H$41)^Model_1!AL$46</f>
        <v>0</v>
      </c>
      <c r="AM61" s="134">
        <f>AM20*(1+Dashboard_3!$H$41)^Model_1!AM$46</f>
        <v>0</v>
      </c>
      <c r="AN61" s="134">
        <f>AN20*(1+Dashboard_3!$H$41)^Model_1!AN$46</f>
        <v>0</v>
      </c>
      <c r="AO61" s="134">
        <f>AO20*(1+Dashboard_3!$H$41)^Model_1!AO$46</f>
        <v>0</v>
      </c>
      <c r="AP61" s="134">
        <f>AP20*(1+Dashboard_3!$H$41)^Model_1!AP$46</f>
        <v>0</v>
      </c>
      <c r="AQ61" s="134">
        <f>AQ20*(1+Dashboard_3!$H$41)^Model_1!AQ$46</f>
        <v>0</v>
      </c>
      <c r="AR61" s="134">
        <f>AR20*(1+Dashboard_3!$H$41)^Model_1!AR$46</f>
        <v>0</v>
      </c>
      <c r="AS61" s="134">
        <f>AS20*(1+Dashboard_3!$H$41)^Model_1!AS$46</f>
        <v>0</v>
      </c>
      <c r="AT61" s="134">
        <f>AT20*(1+Dashboard_3!$H$41)^Model_1!AT$46</f>
        <v>0</v>
      </c>
      <c r="AU61" s="134">
        <f>AU20*(1+Dashboard_3!$H$41)^Model_1!AU$46</f>
        <v>0</v>
      </c>
      <c r="AV61" s="134">
        <f>AV20*(1+Dashboard_3!$H$41)^Model_1!AV$46</f>
        <v>0</v>
      </c>
      <c r="AW61" s="134">
        <f>AW20*(1+Dashboard_3!$H$41)^Model_1!AW$46</f>
        <v>0</v>
      </c>
      <c r="AX61" s="134">
        <f>AX20*(1+Dashboard_3!$H$41)^Model_1!AX$46</f>
        <v>0</v>
      </c>
      <c r="AY61" s="134">
        <f>AY20*(1+Dashboard_3!$H$41)^Model_1!AY$46</f>
        <v>0</v>
      </c>
    </row>
    <row r="62" spans="1:51" x14ac:dyDescent="0.45">
      <c r="A62" s="41" t="str">
        <f t="shared" si="20"/>
        <v>Visual tree inspection ($)</v>
      </c>
      <c r="B62" s="134">
        <f>B21*(1+Dashboard_3!$H$41)^Model_1!B$46</f>
        <v>90</v>
      </c>
      <c r="C62" s="134">
        <f>C21*(1+Dashboard_3!$H$41)^Model_1!C$46</f>
        <v>90</v>
      </c>
      <c r="D62" s="134">
        <f>D21*(1+Dashboard_3!$H$41)^Model_1!D$46</f>
        <v>90</v>
      </c>
      <c r="E62" s="134">
        <f>E21*(1+Dashboard_3!$H$41)^Model_1!E$46</f>
        <v>90</v>
      </c>
      <c r="F62" s="134">
        <f>F21*(1+Dashboard_3!$H$41)^Model_1!F$46</f>
        <v>90</v>
      </c>
      <c r="G62" s="134">
        <f>G21*(1+Dashboard_3!$H$41)^Model_1!G$46</f>
        <v>90</v>
      </c>
      <c r="H62" s="134">
        <f>H21*(1+Dashboard_3!$H$41)^Model_1!H$46</f>
        <v>90</v>
      </c>
      <c r="I62" s="134">
        <f>I21*(1+Dashboard_3!$H$41)^Model_1!I$46</f>
        <v>90</v>
      </c>
      <c r="J62" s="134">
        <f>J21*(1+Dashboard_3!$H$41)^Model_1!J$46</f>
        <v>90</v>
      </c>
      <c r="K62" s="134">
        <f>K21*(1+Dashboard_3!$H$41)^Model_1!K$46</f>
        <v>0</v>
      </c>
      <c r="L62" s="134">
        <f>L21*(1+Dashboard_3!$H$41)^Model_1!L$46</f>
        <v>0</v>
      </c>
      <c r="M62" s="134">
        <f>M21*(1+Dashboard_3!$H$41)^Model_1!M$46</f>
        <v>0</v>
      </c>
      <c r="N62" s="134">
        <f>N21*(1+Dashboard_3!$H$41)^Model_1!N$46</f>
        <v>0</v>
      </c>
      <c r="O62" s="134">
        <f>O21*(1+Dashboard_3!$H$41)^Model_1!O$46</f>
        <v>0</v>
      </c>
      <c r="P62" s="134">
        <f>P21*(1+Dashboard_3!$H$41)^Model_1!P$46</f>
        <v>0</v>
      </c>
      <c r="Q62" s="134">
        <f>Q21*(1+Dashboard_3!$H$41)^Model_1!Q$46</f>
        <v>0</v>
      </c>
      <c r="R62" s="134">
        <f>R21*(1+Dashboard_3!$H$41)^Model_1!R$46</f>
        <v>0</v>
      </c>
      <c r="S62" s="134">
        <f>S21*(1+Dashboard_3!$H$41)^Model_1!S$46</f>
        <v>0</v>
      </c>
      <c r="T62" s="134">
        <f>T21*(1+Dashboard_3!$H$41)^Model_1!T$46</f>
        <v>0</v>
      </c>
      <c r="U62" s="134">
        <f>U21*(1+Dashboard_3!$H$41)^Model_1!U$46</f>
        <v>0</v>
      </c>
      <c r="V62" s="134">
        <f>V21*(1+Dashboard_3!$H$41)^Model_1!V$46</f>
        <v>0</v>
      </c>
      <c r="W62" s="134">
        <f>W21*(1+Dashboard_3!$H$41)^Model_1!W$46</f>
        <v>0</v>
      </c>
      <c r="X62" s="134">
        <f>X21*(1+Dashboard_3!$H$41)^Model_1!X$46</f>
        <v>0</v>
      </c>
      <c r="Y62" s="134">
        <f>Y21*(1+Dashboard_3!$H$41)^Model_1!Y$46</f>
        <v>0</v>
      </c>
      <c r="Z62" s="134">
        <f>Z21*(1+Dashboard_3!$H$41)^Model_1!Z$46</f>
        <v>0</v>
      </c>
      <c r="AA62" s="134">
        <f>AA21*(1+Dashboard_3!$H$41)^Model_1!AA$46</f>
        <v>0</v>
      </c>
      <c r="AB62" s="134">
        <f>AB21*(1+Dashboard_3!$H$41)^Model_1!AB$46</f>
        <v>0</v>
      </c>
      <c r="AC62" s="134">
        <f>AC21*(1+Dashboard_3!$H$41)^Model_1!AC$46</f>
        <v>0</v>
      </c>
      <c r="AD62" s="134">
        <f>AD21*(1+Dashboard_3!$H$41)^Model_1!AD$46</f>
        <v>0</v>
      </c>
      <c r="AE62" s="134">
        <f>AE21*(1+Dashboard_3!$H$41)^Model_1!AE$46</f>
        <v>0</v>
      </c>
      <c r="AF62" s="134">
        <f>AF21*(1+Dashboard_3!$H$41)^Model_1!AF$46</f>
        <v>0</v>
      </c>
      <c r="AG62" s="134">
        <f>AG21*(1+Dashboard_3!$H$41)^Model_1!AG$46</f>
        <v>0</v>
      </c>
      <c r="AH62" s="134">
        <f>AH21*(1+Dashboard_3!$H$41)^Model_1!AH$46</f>
        <v>0</v>
      </c>
      <c r="AI62" s="134">
        <f>AI21*(1+Dashboard_3!$H$41)^Model_1!AI$46</f>
        <v>0</v>
      </c>
      <c r="AJ62" s="134">
        <f>AJ21*(1+Dashboard_3!$H$41)^Model_1!AJ$46</f>
        <v>0</v>
      </c>
      <c r="AK62" s="134">
        <f>AK21*(1+Dashboard_3!$H$41)^Model_1!AK$46</f>
        <v>0</v>
      </c>
      <c r="AL62" s="134">
        <f>AL21*(1+Dashboard_3!$H$41)^Model_1!AL$46</f>
        <v>0</v>
      </c>
      <c r="AM62" s="134">
        <f>AM21*(1+Dashboard_3!$H$41)^Model_1!AM$46</f>
        <v>0</v>
      </c>
      <c r="AN62" s="134">
        <f>AN21*(1+Dashboard_3!$H$41)^Model_1!AN$46</f>
        <v>0</v>
      </c>
      <c r="AO62" s="134">
        <f>AO21*(1+Dashboard_3!$H$41)^Model_1!AO$46</f>
        <v>0</v>
      </c>
      <c r="AP62" s="134">
        <f>AP21*(1+Dashboard_3!$H$41)^Model_1!AP$46</f>
        <v>0</v>
      </c>
      <c r="AQ62" s="134">
        <f>AQ21*(1+Dashboard_3!$H$41)^Model_1!AQ$46</f>
        <v>0</v>
      </c>
      <c r="AR62" s="134">
        <f>AR21*(1+Dashboard_3!$H$41)^Model_1!AR$46</f>
        <v>0</v>
      </c>
      <c r="AS62" s="134">
        <f>AS21*(1+Dashboard_3!$H$41)^Model_1!AS$46</f>
        <v>0</v>
      </c>
      <c r="AT62" s="134">
        <f>AT21*(1+Dashboard_3!$H$41)^Model_1!AT$46</f>
        <v>0</v>
      </c>
      <c r="AU62" s="134">
        <f>AU21*(1+Dashboard_3!$H$41)^Model_1!AU$46</f>
        <v>0</v>
      </c>
      <c r="AV62" s="134">
        <f>AV21*(1+Dashboard_3!$H$41)^Model_1!AV$46</f>
        <v>0</v>
      </c>
      <c r="AW62" s="134">
        <f>AW21*(1+Dashboard_3!$H$41)^Model_1!AW$46</f>
        <v>0</v>
      </c>
      <c r="AX62" s="134">
        <f>AX21*(1+Dashboard_3!$H$41)^Model_1!AX$46</f>
        <v>0</v>
      </c>
      <c r="AY62" s="134">
        <f>AY21*(1+Dashboard_3!$H$41)^Model_1!AY$46</f>
        <v>0</v>
      </c>
    </row>
    <row r="63" spans="1:51" x14ac:dyDescent="0.45">
      <c r="A63" s="41" t="str">
        <f t="shared" si="20"/>
        <v>User specified cost item 3 ($/ year)</v>
      </c>
      <c r="B63" s="134">
        <f>B22*(1+Dashboard_3!$H$41)^Model_1!B$46</f>
        <v>0</v>
      </c>
      <c r="C63" s="134">
        <f>C22*(1+Dashboard_3!$H$41)^Model_1!C$46</f>
        <v>0</v>
      </c>
      <c r="D63" s="134">
        <f>D22*(1+Dashboard_3!$H$41)^Model_1!D$46</f>
        <v>0</v>
      </c>
      <c r="E63" s="134">
        <f>E22*(1+Dashboard_3!$H$41)^Model_1!E$46</f>
        <v>0</v>
      </c>
      <c r="F63" s="134">
        <f>F22*(1+Dashboard_3!$H$41)^Model_1!F$46</f>
        <v>0</v>
      </c>
      <c r="G63" s="134">
        <f>G22*(1+Dashboard_3!$H$41)^Model_1!G$46</f>
        <v>0</v>
      </c>
      <c r="H63" s="134">
        <f>H22*(1+Dashboard_3!$H$41)^Model_1!H$46</f>
        <v>0</v>
      </c>
      <c r="I63" s="134">
        <f>I22*(1+Dashboard_3!$H$41)^Model_1!I$46</f>
        <v>0</v>
      </c>
      <c r="J63" s="134">
        <f>J22*(1+Dashboard_3!$H$41)^Model_1!J$46</f>
        <v>0</v>
      </c>
      <c r="K63" s="134">
        <f>K22*(1+Dashboard_3!$H$41)^Model_1!K$46</f>
        <v>0</v>
      </c>
      <c r="L63" s="134">
        <f>L22*(1+Dashboard_3!$H$41)^Model_1!L$46</f>
        <v>0</v>
      </c>
      <c r="M63" s="134">
        <f>M22*(1+Dashboard_3!$H$41)^Model_1!M$46</f>
        <v>0</v>
      </c>
      <c r="N63" s="134">
        <f>N22*(1+Dashboard_3!$H$41)^Model_1!N$46</f>
        <v>0</v>
      </c>
      <c r="O63" s="134">
        <f>O22*(1+Dashboard_3!$H$41)^Model_1!O$46</f>
        <v>0</v>
      </c>
      <c r="P63" s="134">
        <f>P22*(1+Dashboard_3!$H$41)^Model_1!P$46</f>
        <v>0</v>
      </c>
      <c r="Q63" s="134">
        <f>Q22*(1+Dashboard_3!$H$41)^Model_1!Q$46</f>
        <v>0</v>
      </c>
      <c r="R63" s="134">
        <f>R22*(1+Dashboard_3!$H$41)^Model_1!R$46</f>
        <v>0</v>
      </c>
      <c r="S63" s="134">
        <f>S22*(1+Dashboard_3!$H$41)^Model_1!S$46</f>
        <v>0</v>
      </c>
      <c r="T63" s="134">
        <f>T22*(1+Dashboard_3!$H$41)^Model_1!T$46</f>
        <v>0</v>
      </c>
      <c r="U63" s="134">
        <f>U22*(1+Dashboard_3!$H$41)^Model_1!U$46</f>
        <v>0</v>
      </c>
      <c r="V63" s="134">
        <f>V22*(1+Dashboard_3!$H$41)^Model_1!V$46</f>
        <v>0</v>
      </c>
      <c r="W63" s="134">
        <f>W22*(1+Dashboard_3!$H$41)^Model_1!W$46</f>
        <v>0</v>
      </c>
      <c r="X63" s="134">
        <f>X22*(1+Dashboard_3!$H$41)^Model_1!X$46</f>
        <v>0</v>
      </c>
      <c r="Y63" s="134">
        <f>Y22*(1+Dashboard_3!$H$41)^Model_1!Y$46</f>
        <v>0</v>
      </c>
      <c r="Z63" s="134">
        <f>Z22*(1+Dashboard_3!$H$41)^Model_1!Z$46</f>
        <v>0</v>
      </c>
      <c r="AA63" s="134">
        <f>AA22*(1+Dashboard_3!$H$41)^Model_1!AA$46</f>
        <v>0</v>
      </c>
      <c r="AB63" s="134">
        <f>AB22*(1+Dashboard_3!$H$41)^Model_1!AB$46</f>
        <v>0</v>
      </c>
      <c r="AC63" s="134">
        <f>AC22*(1+Dashboard_3!$H$41)^Model_1!AC$46</f>
        <v>0</v>
      </c>
      <c r="AD63" s="134">
        <f>AD22*(1+Dashboard_3!$H$41)^Model_1!AD$46</f>
        <v>0</v>
      </c>
      <c r="AE63" s="134">
        <f>AE22*(1+Dashboard_3!$H$41)^Model_1!AE$46</f>
        <v>0</v>
      </c>
      <c r="AF63" s="134">
        <f>AF22*(1+Dashboard_3!$H$41)^Model_1!AF$46</f>
        <v>0</v>
      </c>
      <c r="AG63" s="134">
        <f>AG22*(1+Dashboard_3!$H$41)^Model_1!AG$46</f>
        <v>0</v>
      </c>
      <c r="AH63" s="134">
        <f>AH22*(1+Dashboard_3!$H$41)^Model_1!AH$46</f>
        <v>0</v>
      </c>
      <c r="AI63" s="134">
        <f>AI22*(1+Dashboard_3!$H$41)^Model_1!AI$46</f>
        <v>0</v>
      </c>
      <c r="AJ63" s="134">
        <f>AJ22*(1+Dashboard_3!$H$41)^Model_1!AJ$46</f>
        <v>0</v>
      </c>
      <c r="AK63" s="134">
        <f>AK22*(1+Dashboard_3!$H$41)^Model_1!AK$46</f>
        <v>0</v>
      </c>
      <c r="AL63" s="134">
        <f>AL22*(1+Dashboard_3!$H$41)^Model_1!AL$46</f>
        <v>0</v>
      </c>
      <c r="AM63" s="134">
        <f>AM22*(1+Dashboard_3!$H$41)^Model_1!AM$46</f>
        <v>0</v>
      </c>
      <c r="AN63" s="134">
        <f>AN22*(1+Dashboard_3!$H$41)^Model_1!AN$46</f>
        <v>0</v>
      </c>
      <c r="AO63" s="134">
        <f>AO22*(1+Dashboard_3!$H$41)^Model_1!AO$46</f>
        <v>0</v>
      </c>
      <c r="AP63" s="134">
        <f>AP22*(1+Dashboard_3!$H$41)^Model_1!AP$46</f>
        <v>0</v>
      </c>
      <c r="AQ63" s="134">
        <f>AQ22*(1+Dashboard_3!$H$41)^Model_1!AQ$46</f>
        <v>0</v>
      </c>
      <c r="AR63" s="134">
        <f>AR22*(1+Dashboard_3!$H$41)^Model_1!AR$46</f>
        <v>0</v>
      </c>
      <c r="AS63" s="134">
        <f>AS22*(1+Dashboard_3!$H$41)^Model_1!AS$46</f>
        <v>0</v>
      </c>
      <c r="AT63" s="134">
        <f>AT22*(1+Dashboard_3!$H$41)^Model_1!AT$46</f>
        <v>0</v>
      </c>
      <c r="AU63" s="134">
        <f>AU22*(1+Dashboard_3!$H$41)^Model_1!AU$46</f>
        <v>0</v>
      </c>
      <c r="AV63" s="134">
        <f>AV22*(1+Dashboard_3!$H$41)^Model_1!AV$46</f>
        <v>0</v>
      </c>
      <c r="AW63" s="134">
        <f>AW22*(1+Dashboard_3!$H$41)^Model_1!AW$46</f>
        <v>0</v>
      </c>
      <c r="AX63" s="134">
        <f>AX22*(1+Dashboard_3!$H$41)^Model_1!AX$46</f>
        <v>0</v>
      </c>
      <c r="AY63" s="134">
        <f>AY22*(1+Dashboard_3!$H$41)^Model_1!AY$46</f>
        <v>0</v>
      </c>
    </row>
    <row r="64" spans="1:51" x14ac:dyDescent="0.45">
      <c r="A64" s="41" t="str">
        <f t="shared" si="20"/>
        <v>User specified cost item 4 ($/ year)</v>
      </c>
      <c r="B64" s="134">
        <f>B23*(1+Dashboard_3!$H$41)^Model_1!B$46</f>
        <v>0</v>
      </c>
      <c r="C64" s="134">
        <f>C23*(1+Dashboard_3!$H$41)^Model_1!C$46</f>
        <v>0</v>
      </c>
      <c r="D64" s="134">
        <f>D23*(1+Dashboard_3!$H$41)^Model_1!D$46</f>
        <v>0</v>
      </c>
      <c r="E64" s="134">
        <f>E23*(1+Dashboard_3!$H$41)^Model_1!E$46</f>
        <v>0</v>
      </c>
      <c r="F64" s="134">
        <f>F23*(1+Dashboard_3!$H$41)^Model_1!F$46</f>
        <v>0</v>
      </c>
      <c r="G64" s="134">
        <f>G23*(1+Dashboard_3!$H$41)^Model_1!G$46</f>
        <v>0</v>
      </c>
      <c r="H64" s="134">
        <f>H23*(1+Dashboard_3!$H$41)^Model_1!H$46</f>
        <v>0</v>
      </c>
      <c r="I64" s="134">
        <f>I23*(1+Dashboard_3!$H$41)^Model_1!I$46</f>
        <v>0</v>
      </c>
      <c r="J64" s="134">
        <f>J23*(1+Dashboard_3!$H$41)^Model_1!J$46</f>
        <v>0</v>
      </c>
      <c r="K64" s="134">
        <f>K23*(1+Dashboard_3!$H$41)^Model_1!K$46</f>
        <v>0</v>
      </c>
      <c r="L64" s="134">
        <f>L23*(1+Dashboard_3!$H$41)^Model_1!L$46</f>
        <v>0</v>
      </c>
      <c r="M64" s="134">
        <f>M23*(1+Dashboard_3!$H$41)^Model_1!M$46</f>
        <v>0</v>
      </c>
      <c r="N64" s="134">
        <f>N23*(1+Dashboard_3!$H$41)^Model_1!N$46</f>
        <v>0</v>
      </c>
      <c r="O64" s="134">
        <f>O23*(1+Dashboard_3!$H$41)^Model_1!O$46</f>
        <v>0</v>
      </c>
      <c r="P64" s="134">
        <f>P23*(1+Dashboard_3!$H$41)^Model_1!P$46</f>
        <v>0</v>
      </c>
      <c r="Q64" s="134">
        <f>Q23*(1+Dashboard_3!$H$41)^Model_1!Q$46</f>
        <v>0</v>
      </c>
      <c r="R64" s="134">
        <f>R23*(1+Dashboard_3!$H$41)^Model_1!R$46</f>
        <v>0</v>
      </c>
      <c r="S64" s="134">
        <f>S23*(1+Dashboard_3!$H$41)^Model_1!S$46</f>
        <v>0</v>
      </c>
      <c r="T64" s="134">
        <f>T23*(1+Dashboard_3!$H$41)^Model_1!T$46</f>
        <v>0</v>
      </c>
      <c r="U64" s="134">
        <f>U23*(1+Dashboard_3!$H$41)^Model_1!U$46</f>
        <v>0</v>
      </c>
      <c r="V64" s="134">
        <f>V23*(1+Dashboard_3!$H$41)^Model_1!V$46</f>
        <v>0</v>
      </c>
      <c r="W64" s="134">
        <f>W23*(1+Dashboard_3!$H$41)^Model_1!W$46</f>
        <v>0</v>
      </c>
      <c r="X64" s="134">
        <f>X23*(1+Dashboard_3!$H$41)^Model_1!X$46</f>
        <v>0</v>
      </c>
      <c r="Y64" s="134">
        <f>Y23*(1+Dashboard_3!$H$41)^Model_1!Y$46</f>
        <v>0</v>
      </c>
      <c r="Z64" s="134">
        <f>Z23*(1+Dashboard_3!$H$41)^Model_1!Z$46</f>
        <v>0</v>
      </c>
      <c r="AA64" s="134">
        <f>AA23*(1+Dashboard_3!$H$41)^Model_1!AA$46</f>
        <v>0</v>
      </c>
      <c r="AB64" s="134">
        <f>AB23*(1+Dashboard_3!$H$41)^Model_1!AB$46</f>
        <v>0</v>
      </c>
      <c r="AC64" s="134">
        <f>AC23*(1+Dashboard_3!$H$41)^Model_1!AC$46</f>
        <v>0</v>
      </c>
      <c r="AD64" s="134">
        <f>AD23*(1+Dashboard_3!$H$41)^Model_1!AD$46</f>
        <v>0</v>
      </c>
      <c r="AE64" s="134">
        <f>AE23*(1+Dashboard_3!$H$41)^Model_1!AE$46</f>
        <v>0</v>
      </c>
      <c r="AF64" s="134">
        <f>AF23*(1+Dashboard_3!$H$41)^Model_1!AF$46</f>
        <v>0</v>
      </c>
      <c r="AG64" s="134">
        <f>AG23*(1+Dashboard_3!$H$41)^Model_1!AG$46</f>
        <v>0</v>
      </c>
      <c r="AH64" s="134">
        <f>AH23*(1+Dashboard_3!$H$41)^Model_1!AH$46</f>
        <v>0</v>
      </c>
      <c r="AI64" s="134">
        <f>AI23*(1+Dashboard_3!$H$41)^Model_1!AI$46</f>
        <v>0</v>
      </c>
      <c r="AJ64" s="134">
        <f>AJ23*(1+Dashboard_3!$H$41)^Model_1!AJ$46</f>
        <v>0</v>
      </c>
      <c r="AK64" s="134">
        <f>AK23*(1+Dashboard_3!$H$41)^Model_1!AK$46</f>
        <v>0</v>
      </c>
      <c r="AL64" s="134">
        <f>AL23*(1+Dashboard_3!$H$41)^Model_1!AL$46</f>
        <v>0</v>
      </c>
      <c r="AM64" s="134">
        <f>AM23*(1+Dashboard_3!$H$41)^Model_1!AM$46</f>
        <v>0</v>
      </c>
      <c r="AN64" s="134">
        <f>AN23*(1+Dashboard_3!$H$41)^Model_1!AN$46</f>
        <v>0</v>
      </c>
      <c r="AO64" s="134">
        <f>AO23*(1+Dashboard_3!$H$41)^Model_1!AO$46</f>
        <v>0</v>
      </c>
      <c r="AP64" s="134">
        <f>AP23*(1+Dashboard_3!$H$41)^Model_1!AP$46</f>
        <v>0</v>
      </c>
      <c r="AQ64" s="134">
        <f>AQ23*(1+Dashboard_3!$H$41)^Model_1!AQ$46</f>
        <v>0</v>
      </c>
      <c r="AR64" s="134">
        <f>AR23*(1+Dashboard_3!$H$41)^Model_1!AR$46</f>
        <v>0</v>
      </c>
      <c r="AS64" s="134">
        <f>AS23*(1+Dashboard_3!$H$41)^Model_1!AS$46</f>
        <v>0</v>
      </c>
      <c r="AT64" s="134">
        <f>AT23*(1+Dashboard_3!$H$41)^Model_1!AT$46</f>
        <v>0</v>
      </c>
      <c r="AU64" s="134">
        <f>AU23*(1+Dashboard_3!$H$41)^Model_1!AU$46</f>
        <v>0</v>
      </c>
      <c r="AV64" s="134">
        <f>AV23*(1+Dashboard_3!$H$41)^Model_1!AV$46</f>
        <v>0</v>
      </c>
      <c r="AW64" s="134">
        <f>AW23*(1+Dashboard_3!$H$41)^Model_1!AW$46</f>
        <v>0</v>
      </c>
      <c r="AX64" s="134">
        <f>AX23*(1+Dashboard_3!$H$41)^Model_1!AX$46</f>
        <v>0</v>
      </c>
      <c r="AY64" s="134">
        <f>AY23*(1+Dashboard_3!$H$41)^Model_1!AY$46</f>
        <v>0</v>
      </c>
    </row>
    <row r="65" spans="1:51" x14ac:dyDescent="0.45">
      <c r="A65" s="41" t="str">
        <f t="shared" si="20"/>
        <v>User specified cost item 5 ($/ year)</v>
      </c>
      <c r="B65" s="134">
        <f>B24*(1+Dashboard_3!$H$41)^Model_1!B$46</f>
        <v>0</v>
      </c>
      <c r="C65" s="134">
        <f>C24*(1+Dashboard_3!$H$41)^Model_1!C$46</f>
        <v>0</v>
      </c>
      <c r="D65" s="134">
        <f>D24*(1+Dashboard_3!$H$41)^Model_1!D$46</f>
        <v>0</v>
      </c>
      <c r="E65" s="134">
        <f>E24*(1+Dashboard_3!$H$41)^Model_1!E$46</f>
        <v>0</v>
      </c>
      <c r="F65" s="134">
        <f>F24*(1+Dashboard_3!$H$41)^Model_1!F$46</f>
        <v>0</v>
      </c>
      <c r="G65" s="134">
        <f>G24*(1+Dashboard_3!$H$41)^Model_1!G$46</f>
        <v>0</v>
      </c>
      <c r="H65" s="134">
        <f>H24*(1+Dashboard_3!$H$41)^Model_1!H$46</f>
        <v>0</v>
      </c>
      <c r="I65" s="134">
        <f>I24*(1+Dashboard_3!$H$41)^Model_1!I$46</f>
        <v>0</v>
      </c>
      <c r="J65" s="134">
        <f>J24*(1+Dashboard_3!$H$41)^Model_1!J$46</f>
        <v>0</v>
      </c>
      <c r="K65" s="134">
        <f>K24*(1+Dashboard_3!$H$41)^Model_1!K$46</f>
        <v>0</v>
      </c>
      <c r="L65" s="134">
        <f>L24*(1+Dashboard_3!$H$41)^Model_1!L$46</f>
        <v>0</v>
      </c>
      <c r="M65" s="134">
        <f>M24*(1+Dashboard_3!$H$41)^Model_1!M$46</f>
        <v>0</v>
      </c>
      <c r="N65" s="134">
        <f>N24*(1+Dashboard_3!$H$41)^Model_1!N$46</f>
        <v>0</v>
      </c>
      <c r="O65" s="134">
        <f>O24*(1+Dashboard_3!$H$41)^Model_1!O$46</f>
        <v>0</v>
      </c>
      <c r="P65" s="134">
        <f>P24*(1+Dashboard_3!$H$41)^Model_1!P$46</f>
        <v>0</v>
      </c>
      <c r="Q65" s="134">
        <f>Q24*(1+Dashboard_3!$H$41)^Model_1!Q$46</f>
        <v>0</v>
      </c>
      <c r="R65" s="134">
        <f>R24*(1+Dashboard_3!$H$41)^Model_1!R$46</f>
        <v>0</v>
      </c>
      <c r="S65" s="134">
        <f>S24*(1+Dashboard_3!$H$41)^Model_1!S$46</f>
        <v>0</v>
      </c>
      <c r="T65" s="134">
        <f>T24*(1+Dashboard_3!$H$41)^Model_1!T$46</f>
        <v>0</v>
      </c>
      <c r="U65" s="134">
        <f>U24*(1+Dashboard_3!$H$41)^Model_1!U$46</f>
        <v>0</v>
      </c>
      <c r="V65" s="134">
        <f>V24*(1+Dashboard_3!$H$41)^Model_1!V$46</f>
        <v>0</v>
      </c>
      <c r="W65" s="134">
        <f>W24*(1+Dashboard_3!$H$41)^Model_1!W$46</f>
        <v>0</v>
      </c>
      <c r="X65" s="134">
        <f>X24*(1+Dashboard_3!$H$41)^Model_1!X$46</f>
        <v>0</v>
      </c>
      <c r="Y65" s="134">
        <f>Y24*(1+Dashboard_3!$H$41)^Model_1!Y$46</f>
        <v>0</v>
      </c>
      <c r="Z65" s="134">
        <f>Z24*(1+Dashboard_3!$H$41)^Model_1!Z$46</f>
        <v>0</v>
      </c>
      <c r="AA65" s="134">
        <f>AA24*(1+Dashboard_3!$H$41)^Model_1!AA$46</f>
        <v>0</v>
      </c>
      <c r="AB65" s="134">
        <f>AB24*(1+Dashboard_3!$H$41)^Model_1!AB$46</f>
        <v>0</v>
      </c>
      <c r="AC65" s="134">
        <f>AC24*(1+Dashboard_3!$H$41)^Model_1!AC$46</f>
        <v>0</v>
      </c>
      <c r="AD65" s="134">
        <f>AD24*(1+Dashboard_3!$H$41)^Model_1!AD$46</f>
        <v>0</v>
      </c>
      <c r="AE65" s="134">
        <f>AE24*(1+Dashboard_3!$H$41)^Model_1!AE$46</f>
        <v>0</v>
      </c>
      <c r="AF65" s="134">
        <f>AF24*(1+Dashboard_3!$H$41)^Model_1!AF$46</f>
        <v>0</v>
      </c>
      <c r="AG65" s="134">
        <f>AG24*(1+Dashboard_3!$H$41)^Model_1!AG$46</f>
        <v>0</v>
      </c>
      <c r="AH65" s="134">
        <f>AH24*(1+Dashboard_3!$H$41)^Model_1!AH$46</f>
        <v>0</v>
      </c>
      <c r="AI65" s="134">
        <f>AI24*(1+Dashboard_3!$H$41)^Model_1!AI$46</f>
        <v>0</v>
      </c>
      <c r="AJ65" s="134">
        <f>AJ24*(1+Dashboard_3!$H$41)^Model_1!AJ$46</f>
        <v>0</v>
      </c>
      <c r="AK65" s="134">
        <f>AK24*(1+Dashboard_3!$H$41)^Model_1!AK$46</f>
        <v>0</v>
      </c>
      <c r="AL65" s="134">
        <f>AL24*(1+Dashboard_3!$H$41)^Model_1!AL$46</f>
        <v>0</v>
      </c>
      <c r="AM65" s="134">
        <f>AM24*(1+Dashboard_3!$H$41)^Model_1!AM$46</f>
        <v>0</v>
      </c>
      <c r="AN65" s="134">
        <f>AN24*(1+Dashboard_3!$H$41)^Model_1!AN$46</f>
        <v>0</v>
      </c>
      <c r="AO65" s="134">
        <f>AO24*(1+Dashboard_3!$H$41)^Model_1!AO$46</f>
        <v>0</v>
      </c>
      <c r="AP65" s="134">
        <f>AP24*(1+Dashboard_3!$H$41)^Model_1!AP$46</f>
        <v>0</v>
      </c>
      <c r="AQ65" s="134">
        <f>AQ24*(1+Dashboard_3!$H$41)^Model_1!AQ$46</f>
        <v>0</v>
      </c>
      <c r="AR65" s="134">
        <f>AR24*(1+Dashboard_3!$H$41)^Model_1!AR$46</f>
        <v>0</v>
      </c>
      <c r="AS65" s="134">
        <f>AS24*(1+Dashboard_3!$H$41)^Model_1!AS$46</f>
        <v>0</v>
      </c>
      <c r="AT65" s="134">
        <f>AT24*(1+Dashboard_3!$H$41)^Model_1!AT$46</f>
        <v>0</v>
      </c>
      <c r="AU65" s="134">
        <f>AU24*(1+Dashboard_3!$H$41)^Model_1!AU$46</f>
        <v>0</v>
      </c>
      <c r="AV65" s="134">
        <f>AV24*(1+Dashboard_3!$H$41)^Model_1!AV$46</f>
        <v>0</v>
      </c>
      <c r="AW65" s="134">
        <f>AW24*(1+Dashboard_3!$H$41)^Model_1!AW$46</f>
        <v>0</v>
      </c>
      <c r="AX65" s="134">
        <f>AX24*(1+Dashboard_3!$H$41)^Model_1!AX$46</f>
        <v>0</v>
      </c>
      <c r="AY65" s="134">
        <f>AY24*(1+Dashboard_3!$H$41)^Model_1!AY$46</f>
        <v>0</v>
      </c>
    </row>
    <row r="66" spans="1:51" x14ac:dyDescent="0.45">
      <c r="A66" s="41"/>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row>
    <row r="67" spans="1:51" hidden="1" x14ac:dyDescent="0.45">
      <c r="A67" s="41"/>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row>
    <row r="68" spans="1:51" hidden="1" x14ac:dyDescent="0.45">
      <c r="A68" s="41"/>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row>
    <row r="69" spans="1:51" hidden="1" x14ac:dyDescent="0.45">
      <c r="A69" s="41"/>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row>
    <row r="70" spans="1:51" hidden="1" x14ac:dyDescent="0.45">
      <c r="A70" s="41"/>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row>
    <row r="71" spans="1:51" hidden="1" x14ac:dyDescent="0.45">
      <c r="A71" s="41"/>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row>
    <row r="72" spans="1:51" ht="15.75" hidden="1" customHeight="1" x14ac:dyDescent="0.45">
      <c r="A72" s="41"/>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row>
  </sheetData>
  <sheetProtection algorithmName="SHA-512" hashValue="5i1M4A535OElxiHweqlx3XZKsDp4RAtFilretfv2s/jgXgK0iQEN1b4z0wLvhpjn/utjhetIGF5DNSOt4rfvYg==" saltValue="ZdlxiijB0v0okwgj66z4Y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AD24-AD70-4E70-BB56-68870412F4BA}">
  <sheetPr published="0">
    <tabColor theme="6"/>
  </sheetPr>
  <dimension ref="A1:BB113"/>
  <sheetViews>
    <sheetView topLeftCell="A50" zoomScale="85" zoomScaleNormal="85" workbookViewId="0">
      <selection activeCell="A32" sqref="A32"/>
    </sheetView>
  </sheetViews>
  <sheetFormatPr defaultColWidth="0" defaultRowHeight="14.25" zeroHeight="1" x14ac:dyDescent="0.45"/>
  <cols>
    <col min="1" max="1" width="31.73046875" bestFit="1" customWidth="1"/>
    <col min="2" max="51" width="15.73046875" customWidth="1"/>
    <col min="52" max="52" width="9.1328125" customWidth="1"/>
    <col min="53" max="54" width="0" hidden="1" customWidth="1"/>
    <col min="55" max="16384" width="9.1328125" hidden="1"/>
  </cols>
  <sheetData>
    <row r="1" spans="1:54" x14ac:dyDescent="0.45">
      <c r="A1" t="s">
        <v>207</v>
      </c>
    </row>
    <row r="2" spans="1:54" x14ac:dyDescent="0.45"/>
    <row r="3" spans="1:54" x14ac:dyDescent="0.45">
      <c r="A3" s="45" t="s">
        <v>210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1:54" x14ac:dyDescent="0.45">
      <c r="B4" s="40" t="str">
        <f>Model_1!B56</f>
        <v>Year 1</v>
      </c>
      <c r="C4" s="40" t="str">
        <f>Model_1!C56</f>
        <v>Year 2</v>
      </c>
      <c r="D4" s="40" t="str">
        <f>Model_1!D56</f>
        <v>Year 3</v>
      </c>
      <c r="E4" s="40" t="str">
        <f>Model_1!E56</f>
        <v>Year 4</v>
      </c>
      <c r="F4" s="40" t="str">
        <f>Model_1!F56</f>
        <v>Year 5</v>
      </c>
      <c r="G4" s="40" t="str">
        <f>Model_1!G56</f>
        <v>Year 6</v>
      </c>
      <c r="H4" s="40" t="str">
        <f>Model_1!H56</f>
        <v>Year 7</v>
      </c>
      <c r="I4" s="40" t="str">
        <f>Model_1!I56</f>
        <v>Year 8</v>
      </c>
      <c r="J4" s="40" t="str">
        <f>Model_1!J56</f>
        <v>Year 9</v>
      </c>
      <c r="K4" s="40" t="str">
        <f>Model_1!K56</f>
        <v>Year 10</v>
      </c>
      <c r="L4" s="40" t="str">
        <f>Model_1!L56</f>
        <v>Year 11</v>
      </c>
      <c r="M4" s="40" t="str">
        <f>Model_1!M56</f>
        <v>Year 12</v>
      </c>
      <c r="N4" s="40" t="str">
        <f>Model_1!N56</f>
        <v>Year 13</v>
      </c>
      <c r="O4" s="40" t="str">
        <f>Model_1!O56</f>
        <v>Year 14</v>
      </c>
      <c r="P4" s="40" t="str">
        <f>Model_1!P56</f>
        <v>Year 15</v>
      </c>
      <c r="Q4" s="40" t="str">
        <f>Model_1!Q56</f>
        <v>Year 16</v>
      </c>
      <c r="R4" s="40" t="str">
        <f>Model_1!R56</f>
        <v>Year 17</v>
      </c>
      <c r="S4" s="40" t="str">
        <f>Model_1!S56</f>
        <v>Year 18</v>
      </c>
      <c r="T4" s="40" t="str">
        <f>Model_1!T56</f>
        <v>Year 19</v>
      </c>
      <c r="U4" s="40" t="str">
        <f>Model_1!U56</f>
        <v>Year 20</v>
      </c>
      <c r="V4" s="40" t="str">
        <f>Model_1!V56</f>
        <v>Year 21</v>
      </c>
      <c r="W4" s="40" t="str">
        <f>Model_1!W56</f>
        <v>Year 22</v>
      </c>
      <c r="X4" s="40" t="str">
        <f>Model_1!X56</f>
        <v>Year 23</v>
      </c>
      <c r="Y4" s="40" t="str">
        <f>Model_1!Y56</f>
        <v>Year 24</v>
      </c>
      <c r="Z4" s="40" t="str">
        <f>Model_1!Z56</f>
        <v>Year 25</v>
      </c>
      <c r="AA4" s="40" t="str">
        <f>Model_1!AA56</f>
        <v>Year 26</v>
      </c>
      <c r="AB4" s="40" t="str">
        <f>Model_1!AB56</f>
        <v>Year 27</v>
      </c>
      <c r="AC4" s="40" t="str">
        <f>Model_1!AC56</f>
        <v>Year 28</v>
      </c>
      <c r="AD4" s="40" t="str">
        <f>Model_1!AD56</f>
        <v>Year 29</v>
      </c>
      <c r="AE4" s="40" t="str">
        <f>Model_1!AE56</f>
        <v>Year 30</v>
      </c>
      <c r="AF4" s="40" t="str">
        <f>Model_1!AF56</f>
        <v>Year 31</v>
      </c>
      <c r="AG4" s="40" t="str">
        <f>Model_1!AG56</f>
        <v>Year 32</v>
      </c>
      <c r="AH4" s="40" t="str">
        <f>Model_1!AH56</f>
        <v>Year 33</v>
      </c>
      <c r="AI4" s="40" t="str">
        <f>Model_1!AI56</f>
        <v>Year 34</v>
      </c>
      <c r="AJ4" s="40" t="str">
        <f>Model_1!AJ56</f>
        <v>Year 35</v>
      </c>
      <c r="AK4" s="40" t="str">
        <f>Model_1!AK56</f>
        <v>Year 36</v>
      </c>
      <c r="AL4" s="40" t="str">
        <f>Model_1!AL56</f>
        <v>Year 37</v>
      </c>
      <c r="AM4" s="40" t="str">
        <f>Model_1!AM56</f>
        <v>Year 38</v>
      </c>
      <c r="AN4" s="40" t="str">
        <f>Model_1!AN56</f>
        <v>Year 39</v>
      </c>
      <c r="AO4" s="40" t="str">
        <f>Model_1!AO56</f>
        <v>Year 40</v>
      </c>
      <c r="AP4" s="40" t="str">
        <f>Model_1!AP56</f>
        <v>Year 41</v>
      </c>
      <c r="AQ4" s="40" t="str">
        <f>Model_1!AQ56</f>
        <v>Year 42</v>
      </c>
      <c r="AR4" s="40" t="str">
        <f>Model_1!AR56</f>
        <v>Year 43</v>
      </c>
      <c r="AS4" s="40" t="str">
        <f>Model_1!AS56</f>
        <v>Year 44</v>
      </c>
      <c r="AT4" s="40" t="str">
        <f>Model_1!AT56</f>
        <v>Year 45</v>
      </c>
      <c r="AU4" s="40" t="str">
        <f>Model_1!AU56</f>
        <v>Year 46</v>
      </c>
      <c r="AV4" s="40" t="str">
        <f>Model_1!AV56</f>
        <v>Year 47</v>
      </c>
      <c r="AW4" s="40" t="str">
        <f>Model_1!AW56</f>
        <v>Year 48</v>
      </c>
      <c r="AX4" s="40" t="str">
        <f>Model_1!AX56</f>
        <v>Year 49</v>
      </c>
      <c r="AY4" s="40" t="str">
        <f>Model_1!AY56</f>
        <v>Year 50</v>
      </c>
      <c r="AZ4" s="42"/>
      <c r="BA4" s="42"/>
      <c r="BB4" s="42"/>
    </row>
    <row r="5" spans="1:54" x14ac:dyDescent="0.45">
      <c r="A5" s="41" t="str">
        <f>Model_1!A57</f>
        <v>Concrete cutting ($)</v>
      </c>
      <c r="B5" s="41">
        <f>Model_1!B57</f>
        <v>0</v>
      </c>
      <c r="C5" s="41">
        <f>B5+Model_1!C57</f>
        <v>0</v>
      </c>
      <c r="D5" s="41">
        <f>C5+Model_1!D57</f>
        <v>0</v>
      </c>
      <c r="E5" s="41">
        <f>D5+Model_1!E57</f>
        <v>0</v>
      </c>
      <c r="F5" s="41">
        <f>E5+Model_1!F57</f>
        <v>0</v>
      </c>
      <c r="G5" s="41">
        <f>F5+Model_1!G57</f>
        <v>0</v>
      </c>
      <c r="H5" s="41">
        <f>G5+Model_1!H57</f>
        <v>0</v>
      </c>
      <c r="I5" s="41">
        <f>H5+Model_1!I57</f>
        <v>0</v>
      </c>
      <c r="J5" s="41">
        <f>I5+Model_1!J57</f>
        <v>0</v>
      </c>
      <c r="K5" s="41">
        <f>J5+Model_1!K57</f>
        <v>0</v>
      </c>
      <c r="L5" s="41">
        <f>K5+Model_1!L57</f>
        <v>0</v>
      </c>
      <c r="M5" s="41">
        <f>L5+Model_1!M57</f>
        <v>0</v>
      </c>
      <c r="N5" s="41">
        <f>M5+Model_1!N57</f>
        <v>0</v>
      </c>
      <c r="O5" s="41">
        <f>N5+Model_1!O57</f>
        <v>0</v>
      </c>
      <c r="P5" s="41">
        <f>O5+Model_1!P57</f>
        <v>0</v>
      </c>
      <c r="Q5" s="41">
        <f>P5+Model_1!Q57</f>
        <v>0</v>
      </c>
      <c r="R5" s="41">
        <f>Q5+Model_1!R57</f>
        <v>0</v>
      </c>
      <c r="S5" s="41">
        <f>R5+Model_1!S57</f>
        <v>0</v>
      </c>
      <c r="T5" s="41">
        <f>S5+Model_1!T57</f>
        <v>0</v>
      </c>
      <c r="U5" s="41">
        <f>T5+Model_1!U57</f>
        <v>0</v>
      </c>
      <c r="V5" s="41">
        <f>U5+Model_1!V57</f>
        <v>0</v>
      </c>
      <c r="W5" s="41">
        <f>V5+Model_1!W57</f>
        <v>0</v>
      </c>
      <c r="X5" s="41">
        <f>W5+Model_1!X57</f>
        <v>0</v>
      </c>
      <c r="Y5" s="41">
        <f>X5+Model_1!Y57</f>
        <v>0</v>
      </c>
      <c r="Z5" s="41">
        <f>Y5+Model_1!Z57</f>
        <v>0</v>
      </c>
      <c r="AA5" s="41">
        <f>Z5+Model_1!AA57</f>
        <v>0</v>
      </c>
      <c r="AB5" s="41">
        <f>AA5+Model_1!AB57</f>
        <v>0</v>
      </c>
      <c r="AC5" s="41">
        <f>AB5+Model_1!AC57</f>
        <v>0</v>
      </c>
      <c r="AD5" s="41">
        <f>AC5+Model_1!AD57</f>
        <v>0</v>
      </c>
      <c r="AE5" s="41">
        <f>AD5+Model_1!AE57</f>
        <v>0</v>
      </c>
      <c r="AF5" s="41">
        <f>AE5+Model_1!AF57</f>
        <v>0</v>
      </c>
      <c r="AG5" s="41">
        <f>AF5+Model_1!AG57</f>
        <v>0</v>
      </c>
      <c r="AH5" s="41">
        <f>AG5+Model_1!AH57</f>
        <v>0</v>
      </c>
      <c r="AI5" s="41">
        <f>AH5+Model_1!AI57</f>
        <v>0</v>
      </c>
      <c r="AJ5" s="41">
        <f>AI5+Model_1!AJ57</f>
        <v>0</v>
      </c>
      <c r="AK5" s="41">
        <f>AJ5+Model_1!AK57</f>
        <v>0</v>
      </c>
      <c r="AL5" s="41">
        <f>AK5+Model_1!AL57</f>
        <v>0</v>
      </c>
      <c r="AM5" s="41">
        <f>AL5+Model_1!AM57</f>
        <v>0</v>
      </c>
      <c r="AN5" s="41">
        <f>AM5+Model_1!AN57</f>
        <v>0</v>
      </c>
      <c r="AO5" s="41">
        <f>AN5+Model_1!AO57</f>
        <v>0</v>
      </c>
      <c r="AP5" s="41">
        <f>AO5+Model_1!AP57</f>
        <v>0</v>
      </c>
      <c r="AQ5" s="41">
        <f>AP5+Model_1!AQ57</f>
        <v>0</v>
      </c>
      <c r="AR5" s="41">
        <f>AQ5+Model_1!AR57</f>
        <v>0</v>
      </c>
      <c r="AS5" s="41">
        <f>AR5+Model_1!AS57</f>
        <v>0</v>
      </c>
      <c r="AT5" s="41">
        <f>AS5+Model_1!AT57</f>
        <v>0</v>
      </c>
      <c r="AU5" s="41">
        <f>AT5+Model_1!AU57</f>
        <v>0</v>
      </c>
      <c r="AV5" s="41">
        <f>AU5+Model_1!AV57</f>
        <v>0</v>
      </c>
      <c r="AW5" s="41">
        <f>AV5+Model_1!AW57</f>
        <v>0</v>
      </c>
      <c r="AX5" s="41">
        <f>AW5+Model_1!AX57</f>
        <v>0</v>
      </c>
      <c r="AY5" s="41">
        <f>AX5+Model_1!AY57</f>
        <v>0</v>
      </c>
      <c r="AZ5" s="41"/>
      <c r="BA5" s="41"/>
      <c r="BB5" s="41"/>
    </row>
    <row r="6" spans="1:54" x14ac:dyDescent="0.45">
      <c r="A6" s="41" t="str">
        <f>Model_1!A58</f>
        <v>Supply ($)</v>
      </c>
      <c r="B6" s="41">
        <f>Model_1!B58</f>
        <v>18687.190075840001</v>
      </c>
      <c r="C6" s="41">
        <f>B6+Model_1!C58</f>
        <v>18687.190075840001</v>
      </c>
      <c r="D6" s="41">
        <f>C6+Model_1!D58</f>
        <v>18687.190075840001</v>
      </c>
      <c r="E6" s="41">
        <f>D6+Model_1!E58</f>
        <v>18687.190075840001</v>
      </c>
      <c r="F6" s="41">
        <f>E6+Model_1!F58</f>
        <v>18687.190075840001</v>
      </c>
      <c r="G6" s="41">
        <f>F6+Model_1!G58</f>
        <v>18687.190075840001</v>
      </c>
      <c r="H6" s="41">
        <f>G6+Model_1!H58</f>
        <v>18687.190075840001</v>
      </c>
      <c r="I6" s="41">
        <f>H6+Model_1!I58</f>
        <v>18687.190075840001</v>
      </c>
      <c r="J6" s="41">
        <f>I6+Model_1!J58</f>
        <v>18687.190075840001</v>
      </c>
      <c r="K6" s="41">
        <f>J6+Model_1!K58</f>
        <v>18687.190075840001</v>
      </c>
      <c r="L6" s="41">
        <f>K6+Model_1!L58</f>
        <v>18687.190075840001</v>
      </c>
      <c r="M6" s="41">
        <f>L6+Model_1!M58</f>
        <v>18687.190075840001</v>
      </c>
      <c r="N6" s="41">
        <f>M6+Model_1!N58</f>
        <v>18687.190075840001</v>
      </c>
      <c r="O6" s="41">
        <f>N6+Model_1!O58</f>
        <v>18687.190075840001</v>
      </c>
      <c r="P6" s="41">
        <f>O6+Model_1!P58</f>
        <v>18687.190075840001</v>
      </c>
      <c r="Q6" s="41">
        <f>P6+Model_1!Q58</f>
        <v>18687.190075840001</v>
      </c>
      <c r="R6" s="41">
        <f>Q6+Model_1!R58</f>
        <v>18687.190075840001</v>
      </c>
      <c r="S6" s="41">
        <f>R6+Model_1!S58</f>
        <v>18687.190075840001</v>
      </c>
      <c r="T6" s="41">
        <f>S6+Model_1!T58</f>
        <v>18687.190075840001</v>
      </c>
      <c r="U6" s="41">
        <f>T6+Model_1!U58</f>
        <v>18687.190075840001</v>
      </c>
      <c r="V6" s="41">
        <f>U6+Model_1!V58</f>
        <v>18687.190075840001</v>
      </c>
      <c r="W6" s="41">
        <f>V6+Model_1!W58</f>
        <v>18687.190075840001</v>
      </c>
      <c r="X6" s="41">
        <f>W6+Model_1!X58</f>
        <v>18687.190075840001</v>
      </c>
      <c r="Y6" s="41">
        <f>X6+Model_1!Y58</f>
        <v>18687.190075840001</v>
      </c>
      <c r="Z6" s="41">
        <f>Y6+Model_1!Z58</f>
        <v>18687.190075840001</v>
      </c>
      <c r="AA6" s="41">
        <f>Z6+Model_1!AA58</f>
        <v>18687.190075840001</v>
      </c>
      <c r="AB6" s="41">
        <f>AA6+Model_1!AB58</f>
        <v>18687.190075840001</v>
      </c>
      <c r="AC6" s="41">
        <f>AB6+Model_1!AC58</f>
        <v>18687.190075840001</v>
      </c>
      <c r="AD6" s="41">
        <f>AC6+Model_1!AD58</f>
        <v>18687.190075840001</v>
      </c>
      <c r="AE6" s="41">
        <f>AD6+Model_1!AE58</f>
        <v>18687.190075840001</v>
      </c>
      <c r="AF6" s="41">
        <f>AE6+Model_1!AF58</f>
        <v>18687.190075840001</v>
      </c>
      <c r="AG6" s="41">
        <f>AF6+Model_1!AG58</f>
        <v>18687.190075840001</v>
      </c>
      <c r="AH6" s="41">
        <f>AG6+Model_1!AH58</f>
        <v>18687.190075840001</v>
      </c>
      <c r="AI6" s="41">
        <f>AH6+Model_1!AI58</f>
        <v>18687.190075840001</v>
      </c>
      <c r="AJ6" s="41">
        <f>AI6+Model_1!AJ58</f>
        <v>18687.190075840001</v>
      </c>
      <c r="AK6" s="41">
        <f>AJ6+Model_1!AK58</f>
        <v>18687.190075840001</v>
      </c>
      <c r="AL6" s="41">
        <f>AK6+Model_1!AL58</f>
        <v>18687.190075840001</v>
      </c>
      <c r="AM6" s="41">
        <f>AL6+Model_1!AM58</f>
        <v>18687.190075840001</v>
      </c>
      <c r="AN6" s="41">
        <f>AM6+Model_1!AN58</f>
        <v>18687.190075840001</v>
      </c>
      <c r="AO6" s="41">
        <f>AN6+Model_1!AO58</f>
        <v>18687.190075840001</v>
      </c>
      <c r="AP6" s="41">
        <f>AO6+Model_1!AP58</f>
        <v>18687.190075840001</v>
      </c>
      <c r="AQ6" s="41">
        <f>AP6+Model_1!AQ58</f>
        <v>18687.190075840001</v>
      </c>
      <c r="AR6" s="41">
        <f>AQ6+Model_1!AR58</f>
        <v>18687.190075840001</v>
      </c>
      <c r="AS6" s="41">
        <f>AR6+Model_1!AS58</f>
        <v>18687.190075840001</v>
      </c>
      <c r="AT6" s="41">
        <f>AS6+Model_1!AT58</f>
        <v>18687.190075840001</v>
      </c>
      <c r="AU6" s="41">
        <f>AT6+Model_1!AU58</f>
        <v>18687.190075840001</v>
      </c>
      <c r="AV6" s="41">
        <f>AU6+Model_1!AV58</f>
        <v>18687.190075840001</v>
      </c>
      <c r="AW6" s="41">
        <f>AV6+Model_1!AW58</f>
        <v>18687.190075840001</v>
      </c>
      <c r="AX6" s="41">
        <f>AW6+Model_1!AX58</f>
        <v>18687.190075840001</v>
      </c>
      <c r="AY6" s="41">
        <f>AX6+Model_1!AY58</f>
        <v>18687.190075840001</v>
      </c>
      <c r="AZ6" s="41"/>
      <c r="BA6" s="41"/>
      <c r="BB6" s="41"/>
    </row>
    <row r="7" spans="1:54" x14ac:dyDescent="0.45">
      <c r="A7" s="41" t="str">
        <f>Model_1!A59</f>
        <v>Tree installation ($)</v>
      </c>
      <c r="B7" s="41">
        <f>Model_1!B59</f>
        <v>0</v>
      </c>
      <c r="C7" s="41">
        <f>B7+Model_1!C59</f>
        <v>0</v>
      </c>
      <c r="D7" s="41">
        <f>C7+Model_1!D59</f>
        <v>0</v>
      </c>
      <c r="E7" s="41">
        <f>D7+Model_1!E59</f>
        <v>0</v>
      </c>
      <c r="F7" s="41">
        <f>E7+Model_1!F59</f>
        <v>0</v>
      </c>
      <c r="G7" s="41">
        <f>F7+Model_1!G59</f>
        <v>0</v>
      </c>
      <c r="H7" s="41">
        <f>G7+Model_1!H59</f>
        <v>0</v>
      </c>
      <c r="I7" s="41">
        <f>H7+Model_1!I59</f>
        <v>0</v>
      </c>
      <c r="J7" s="41">
        <f>I7+Model_1!J59</f>
        <v>0</v>
      </c>
      <c r="K7" s="41">
        <f>J7+Model_1!K59</f>
        <v>0</v>
      </c>
      <c r="L7" s="41">
        <f>K7+Model_1!L59</f>
        <v>0</v>
      </c>
      <c r="M7" s="41">
        <f>L7+Model_1!M59</f>
        <v>0</v>
      </c>
      <c r="N7" s="41">
        <f>M7+Model_1!N59</f>
        <v>0</v>
      </c>
      <c r="O7" s="41">
        <f>N7+Model_1!O59</f>
        <v>0</v>
      </c>
      <c r="P7" s="41">
        <f>O7+Model_1!P59</f>
        <v>0</v>
      </c>
      <c r="Q7" s="41">
        <f>P7+Model_1!Q59</f>
        <v>0</v>
      </c>
      <c r="R7" s="41">
        <f>Q7+Model_1!R59</f>
        <v>0</v>
      </c>
      <c r="S7" s="41">
        <f>R7+Model_1!S59</f>
        <v>0</v>
      </c>
      <c r="T7" s="41">
        <f>S7+Model_1!T59</f>
        <v>0</v>
      </c>
      <c r="U7" s="41">
        <f>T7+Model_1!U59</f>
        <v>0</v>
      </c>
      <c r="V7" s="41">
        <f>U7+Model_1!V59</f>
        <v>0</v>
      </c>
      <c r="W7" s="41">
        <f>V7+Model_1!W59</f>
        <v>0</v>
      </c>
      <c r="X7" s="41">
        <f>W7+Model_1!X59</f>
        <v>0</v>
      </c>
      <c r="Y7" s="41">
        <f>X7+Model_1!Y59</f>
        <v>0</v>
      </c>
      <c r="Z7" s="41">
        <f>Y7+Model_1!Z59</f>
        <v>0</v>
      </c>
      <c r="AA7" s="41">
        <f>Z7+Model_1!AA59</f>
        <v>0</v>
      </c>
      <c r="AB7" s="41">
        <f>AA7+Model_1!AB59</f>
        <v>0</v>
      </c>
      <c r="AC7" s="41">
        <f>AB7+Model_1!AC59</f>
        <v>0</v>
      </c>
      <c r="AD7" s="41">
        <f>AC7+Model_1!AD59</f>
        <v>0</v>
      </c>
      <c r="AE7" s="41">
        <f>AD7+Model_1!AE59</f>
        <v>0</v>
      </c>
      <c r="AF7" s="41">
        <f>AE7+Model_1!AF59</f>
        <v>0</v>
      </c>
      <c r="AG7" s="41">
        <f>AF7+Model_1!AG59</f>
        <v>0</v>
      </c>
      <c r="AH7" s="41">
        <f>AG7+Model_1!AH59</f>
        <v>0</v>
      </c>
      <c r="AI7" s="41">
        <f>AH7+Model_1!AI59</f>
        <v>0</v>
      </c>
      <c r="AJ7" s="41">
        <f>AI7+Model_1!AJ59</f>
        <v>0</v>
      </c>
      <c r="AK7" s="41">
        <f>AJ7+Model_1!AK59</f>
        <v>0</v>
      </c>
      <c r="AL7" s="41">
        <f>AK7+Model_1!AL59</f>
        <v>0</v>
      </c>
      <c r="AM7" s="41">
        <f>AL7+Model_1!AM59</f>
        <v>0</v>
      </c>
      <c r="AN7" s="41">
        <f>AM7+Model_1!AN59</f>
        <v>0</v>
      </c>
      <c r="AO7" s="41">
        <f>AN7+Model_1!AO59</f>
        <v>0</v>
      </c>
      <c r="AP7" s="41">
        <f>AO7+Model_1!AP59</f>
        <v>0</v>
      </c>
      <c r="AQ7" s="41">
        <f>AP7+Model_1!AQ59</f>
        <v>0</v>
      </c>
      <c r="AR7" s="41">
        <f>AQ7+Model_1!AR59</f>
        <v>0</v>
      </c>
      <c r="AS7" s="41">
        <f>AR7+Model_1!AS59</f>
        <v>0</v>
      </c>
      <c r="AT7" s="41">
        <f>AS7+Model_1!AT59</f>
        <v>0</v>
      </c>
      <c r="AU7" s="41">
        <f>AT7+Model_1!AU59</f>
        <v>0</v>
      </c>
      <c r="AV7" s="41">
        <f>AU7+Model_1!AV59</f>
        <v>0</v>
      </c>
      <c r="AW7" s="41">
        <f>AV7+Model_1!AW59</f>
        <v>0</v>
      </c>
      <c r="AX7" s="41">
        <f>AW7+Model_1!AX59</f>
        <v>0</v>
      </c>
      <c r="AY7" s="41">
        <f>AX7+Model_1!AY59</f>
        <v>0</v>
      </c>
      <c r="AZ7" s="41"/>
      <c r="BA7" s="41"/>
      <c r="BB7" s="41"/>
    </row>
    <row r="8" spans="1:54" x14ac:dyDescent="0.45">
      <c r="A8" s="41" t="str">
        <f>Model_1!A60</f>
        <v>Unbundled installation</v>
      </c>
      <c r="B8" s="41">
        <f>Model_1!B60</f>
        <v>2433.3333333333335</v>
      </c>
      <c r="C8" s="41">
        <f>B8+Model_1!C60</f>
        <v>2433.3333333333335</v>
      </c>
      <c r="D8" s="41">
        <f>C8+Model_1!D60</f>
        <v>2433.3333333333335</v>
      </c>
      <c r="E8" s="41">
        <f>D8+Model_1!E60</f>
        <v>2433.3333333333335</v>
      </c>
      <c r="F8" s="41">
        <f>E8+Model_1!F60</f>
        <v>2433.3333333333335</v>
      </c>
      <c r="G8" s="41">
        <f>F8+Model_1!G60</f>
        <v>2433.3333333333335</v>
      </c>
      <c r="H8" s="41">
        <f>G8+Model_1!H60</f>
        <v>2433.3333333333335</v>
      </c>
      <c r="I8" s="41">
        <f>H8+Model_1!I60</f>
        <v>2433.3333333333335</v>
      </c>
      <c r="J8" s="41">
        <f>I8+Model_1!J60</f>
        <v>2433.3333333333335</v>
      </c>
      <c r="K8" s="41">
        <f>J8+Model_1!K60</f>
        <v>2433.3333333333335</v>
      </c>
      <c r="L8" s="41">
        <f>K8+Model_1!L60</f>
        <v>2433.3333333333335</v>
      </c>
      <c r="M8" s="41">
        <f>L8+Model_1!M60</f>
        <v>2433.3333333333335</v>
      </c>
      <c r="N8" s="41">
        <f>M8+Model_1!N60</f>
        <v>2433.3333333333335</v>
      </c>
      <c r="O8" s="41">
        <f>N8+Model_1!O60</f>
        <v>2433.3333333333335</v>
      </c>
      <c r="P8" s="41">
        <f>O8+Model_1!P60</f>
        <v>2433.3333333333335</v>
      </c>
      <c r="Q8" s="41">
        <f>P8+Model_1!Q60</f>
        <v>2433.3333333333335</v>
      </c>
      <c r="R8" s="41">
        <f>Q8+Model_1!R60</f>
        <v>2433.3333333333335</v>
      </c>
      <c r="S8" s="41">
        <f>R8+Model_1!S60</f>
        <v>2433.3333333333335</v>
      </c>
      <c r="T8" s="41">
        <f>S8+Model_1!T60</f>
        <v>2433.3333333333335</v>
      </c>
      <c r="U8" s="41">
        <f>T8+Model_1!U60</f>
        <v>2433.3333333333335</v>
      </c>
      <c r="V8" s="41">
        <f>U8+Model_1!V60</f>
        <v>2433.3333333333335</v>
      </c>
      <c r="W8" s="41">
        <f>V8+Model_1!W60</f>
        <v>2433.3333333333335</v>
      </c>
      <c r="X8" s="41">
        <f>W8+Model_1!X60</f>
        <v>2433.3333333333335</v>
      </c>
      <c r="Y8" s="41">
        <f>X8+Model_1!Y60</f>
        <v>2433.3333333333335</v>
      </c>
      <c r="Z8" s="41">
        <f>Y8+Model_1!Z60</f>
        <v>2433.3333333333335</v>
      </c>
      <c r="AA8" s="41">
        <f>Z8+Model_1!AA60</f>
        <v>2433.3333333333335</v>
      </c>
      <c r="AB8" s="41">
        <f>AA8+Model_1!AB60</f>
        <v>2433.3333333333335</v>
      </c>
      <c r="AC8" s="41">
        <f>AB8+Model_1!AC60</f>
        <v>2433.3333333333335</v>
      </c>
      <c r="AD8" s="41">
        <f>AC8+Model_1!AD60</f>
        <v>2433.3333333333335</v>
      </c>
      <c r="AE8" s="41">
        <f>AD8+Model_1!AE60</f>
        <v>2433.3333333333335</v>
      </c>
      <c r="AF8" s="41">
        <f>AE8+Model_1!AF60</f>
        <v>2433.3333333333335</v>
      </c>
      <c r="AG8" s="41">
        <f>AF8+Model_1!AG60</f>
        <v>2433.3333333333335</v>
      </c>
      <c r="AH8" s="41">
        <f>AG8+Model_1!AH60</f>
        <v>2433.3333333333335</v>
      </c>
      <c r="AI8" s="41">
        <f>AH8+Model_1!AI60</f>
        <v>2433.3333333333335</v>
      </c>
      <c r="AJ8" s="41">
        <f>AI8+Model_1!AJ60</f>
        <v>2433.3333333333335</v>
      </c>
      <c r="AK8" s="41">
        <f>AJ8+Model_1!AK60</f>
        <v>2433.3333333333335</v>
      </c>
      <c r="AL8" s="41">
        <f>AK8+Model_1!AL60</f>
        <v>2433.3333333333335</v>
      </c>
      <c r="AM8" s="41">
        <f>AL8+Model_1!AM60</f>
        <v>2433.3333333333335</v>
      </c>
      <c r="AN8" s="41">
        <f>AM8+Model_1!AN60</f>
        <v>2433.3333333333335</v>
      </c>
      <c r="AO8" s="41">
        <f>AN8+Model_1!AO60</f>
        <v>2433.3333333333335</v>
      </c>
      <c r="AP8" s="41">
        <f>AO8+Model_1!AP60</f>
        <v>2433.3333333333335</v>
      </c>
      <c r="AQ8" s="41">
        <f>AP8+Model_1!AQ60</f>
        <v>2433.3333333333335</v>
      </c>
      <c r="AR8" s="41">
        <f>AQ8+Model_1!AR60</f>
        <v>2433.3333333333335</v>
      </c>
      <c r="AS8" s="41">
        <f>AR8+Model_1!AS60</f>
        <v>2433.3333333333335</v>
      </c>
      <c r="AT8" s="41">
        <f>AS8+Model_1!AT60</f>
        <v>2433.3333333333335</v>
      </c>
      <c r="AU8" s="41">
        <f>AT8+Model_1!AU60</f>
        <v>2433.3333333333335</v>
      </c>
      <c r="AV8" s="41">
        <f>AU8+Model_1!AV60</f>
        <v>2433.3333333333335</v>
      </c>
      <c r="AW8" s="41">
        <f>AV8+Model_1!AW60</f>
        <v>2433.3333333333335</v>
      </c>
      <c r="AX8" s="41">
        <f>AW8+Model_1!AX60</f>
        <v>2433.3333333333335</v>
      </c>
      <c r="AY8" s="41">
        <f>AX8+Model_1!AY60</f>
        <v>2433.3333333333335</v>
      </c>
      <c r="AZ8" s="41"/>
      <c r="BA8" s="41"/>
      <c r="BB8" s="41"/>
    </row>
    <row r="9" spans="1:54" x14ac:dyDescent="0.45">
      <c r="A9" s="41" t="str">
        <f>Model_1!A61</f>
        <v>Mulch cost ($/m3)</v>
      </c>
      <c r="B9" s="41">
        <f>Model_1!B61</f>
        <v>976.83311460799996</v>
      </c>
      <c r="C9" s="41">
        <f>B9+Model_1!C61</f>
        <v>976.83311460799996</v>
      </c>
      <c r="D9" s="41">
        <f>C9+Model_1!D61</f>
        <v>976.83311460799996</v>
      </c>
      <c r="E9" s="41">
        <f>D9+Model_1!E61</f>
        <v>976.83311460799996</v>
      </c>
      <c r="F9" s="41">
        <f>E9+Model_1!F61</f>
        <v>976.83311460799996</v>
      </c>
      <c r="G9" s="41">
        <f>F9+Model_1!G61</f>
        <v>976.83311460799996</v>
      </c>
      <c r="H9" s="41">
        <f>G9+Model_1!H61</f>
        <v>976.83311460799996</v>
      </c>
      <c r="I9" s="41">
        <f>H9+Model_1!I61</f>
        <v>976.83311460799996</v>
      </c>
      <c r="J9" s="41">
        <f>I9+Model_1!J61</f>
        <v>976.83311460799996</v>
      </c>
      <c r="K9" s="41">
        <f>J9+Model_1!K61</f>
        <v>976.83311460799996</v>
      </c>
      <c r="L9" s="41">
        <f>K9+Model_1!L61</f>
        <v>976.83311460799996</v>
      </c>
      <c r="M9" s="41">
        <f>L9+Model_1!M61</f>
        <v>976.83311460799996</v>
      </c>
      <c r="N9" s="41">
        <f>M9+Model_1!N61</f>
        <v>976.83311460799996</v>
      </c>
      <c r="O9" s="41">
        <f>N9+Model_1!O61</f>
        <v>976.83311460799996</v>
      </c>
      <c r="P9" s="41">
        <f>O9+Model_1!P61</f>
        <v>976.83311460799996</v>
      </c>
      <c r="Q9" s="41">
        <f>P9+Model_1!Q61</f>
        <v>976.83311460799996</v>
      </c>
      <c r="R9" s="41">
        <f>Q9+Model_1!R61</f>
        <v>976.83311460799996</v>
      </c>
      <c r="S9" s="41">
        <f>R9+Model_1!S61</f>
        <v>976.83311460799996</v>
      </c>
      <c r="T9" s="41">
        <f>S9+Model_1!T61</f>
        <v>976.83311460799996</v>
      </c>
      <c r="U9" s="41">
        <f>T9+Model_1!U61</f>
        <v>976.83311460799996</v>
      </c>
      <c r="V9" s="41">
        <f>U9+Model_1!V61</f>
        <v>976.83311460799996</v>
      </c>
      <c r="W9" s="41">
        <f>V9+Model_1!W61</f>
        <v>976.83311460799996</v>
      </c>
      <c r="X9" s="41">
        <f>W9+Model_1!X61</f>
        <v>976.83311460799996</v>
      </c>
      <c r="Y9" s="41">
        <f>X9+Model_1!Y61</f>
        <v>976.83311460799996</v>
      </c>
      <c r="Z9" s="41">
        <f>Y9+Model_1!Z61</f>
        <v>976.83311460799996</v>
      </c>
      <c r="AA9" s="41">
        <f>Z9+Model_1!AA61</f>
        <v>976.83311460799996</v>
      </c>
      <c r="AB9" s="41">
        <f>AA9+Model_1!AB61</f>
        <v>976.83311460799996</v>
      </c>
      <c r="AC9" s="41">
        <f>AB9+Model_1!AC61</f>
        <v>976.83311460799996</v>
      </c>
      <c r="AD9" s="41">
        <f>AC9+Model_1!AD61</f>
        <v>976.83311460799996</v>
      </c>
      <c r="AE9" s="41">
        <f>AD9+Model_1!AE61</f>
        <v>976.83311460799996</v>
      </c>
      <c r="AF9" s="41">
        <f>AE9+Model_1!AF61</f>
        <v>976.83311460799996</v>
      </c>
      <c r="AG9" s="41">
        <f>AF9+Model_1!AG61</f>
        <v>976.83311460799996</v>
      </c>
      <c r="AH9" s="41">
        <f>AG9+Model_1!AH61</f>
        <v>976.83311460799996</v>
      </c>
      <c r="AI9" s="41">
        <f>AH9+Model_1!AI61</f>
        <v>976.83311460799996</v>
      </c>
      <c r="AJ9" s="41">
        <f>AI9+Model_1!AJ61</f>
        <v>976.83311460799996</v>
      </c>
      <c r="AK9" s="41">
        <f>AJ9+Model_1!AK61</f>
        <v>976.83311460799996</v>
      </c>
      <c r="AL9" s="41">
        <f>AK9+Model_1!AL61</f>
        <v>976.83311460799996</v>
      </c>
      <c r="AM9" s="41">
        <f>AL9+Model_1!AM61</f>
        <v>976.83311460799996</v>
      </c>
      <c r="AN9" s="41">
        <f>AM9+Model_1!AN61</f>
        <v>976.83311460799996</v>
      </c>
      <c r="AO9" s="41">
        <f>AN9+Model_1!AO61</f>
        <v>976.83311460799996</v>
      </c>
      <c r="AP9" s="41">
        <f>AO9+Model_1!AP61</f>
        <v>976.83311460799996</v>
      </c>
      <c r="AQ9" s="41">
        <f>AP9+Model_1!AQ61</f>
        <v>976.83311460799996</v>
      </c>
      <c r="AR9" s="41">
        <f>AQ9+Model_1!AR61</f>
        <v>976.83311460799996</v>
      </c>
      <c r="AS9" s="41">
        <f>AR9+Model_1!AS61</f>
        <v>976.83311460799996</v>
      </c>
      <c r="AT9" s="41">
        <f>AS9+Model_1!AT61</f>
        <v>976.83311460799996</v>
      </c>
      <c r="AU9" s="41">
        <f>AT9+Model_1!AU61</f>
        <v>976.83311460799996</v>
      </c>
      <c r="AV9" s="41">
        <f>AU9+Model_1!AV61</f>
        <v>976.83311460799996</v>
      </c>
      <c r="AW9" s="41">
        <f>AV9+Model_1!AW61</f>
        <v>976.83311460799996</v>
      </c>
      <c r="AX9" s="41">
        <f>AW9+Model_1!AX61</f>
        <v>976.83311460799996</v>
      </c>
      <c r="AY9" s="41">
        <f>AX9+Model_1!AY61</f>
        <v>976.83311460799996</v>
      </c>
      <c r="AZ9" s="41"/>
      <c r="BA9" s="41"/>
      <c r="BB9" s="41"/>
    </row>
    <row r="10" spans="1:54" x14ac:dyDescent="0.45">
      <c r="A10" s="41" t="str">
        <f>Model_1!A62</f>
        <v>Stakes and ties ($)</v>
      </c>
      <c r="B10" s="41">
        <f>Model_1!B62</f>
        <v>12480.000000000002</v>
      </c>
      <c r="C10" s="41">
        <f>B10+Model_1!C62</f>
        <v>12480.000000000002</v>
      </c>
      <c r="D10" s="41">
        <f>C10+Model_1!D62</f>
        <v>12480.000000000002</v>
      </c>
      <c r="E10" s="41">
        <f>D10+Model_1!E62</f>
        <v>12480.000000000002</v>
      </c>
      <c r="F10" s="41">
        <f>E10+Model_1!F62</f>
        <v>12480.000000000002</v>
      </c>
      <c r="G10" s="41">
        <f>F10+Model_1!G62</f>
        <v>12480.000000000002</v>
      </c>
      <c r="H10" s="41">
        <f>G10+Model_1!H62</f>
        <v>12480.000000000002</v>
      </c>
      <c r="I10" s="41">
        <f>H10+Model_1!I62</f>
        <v>12480.000000000002</v>
      </c>
      <c r="J10" s="41">
        <f>I10+Model_1!J62</f>
        <v>12480.000000000002</v>
      </c>
      <c r="K10" s="41">
        <f>J10+Model_1!K62</f>
        <v>12480.000000000002</v>
      </c>
      <c r="L10" s="41">
        <f>K10+Model_1!L62</f>
        <v>12480.000000000002</v>
      </c>
      <c r="M10" s="41">
        <f>L10+Model_1!M62</f>
        <v>12480.000000000002</v>
      </c>
      <c r="N10" s="41">
        <f>M10+Model_1!N62</f>
        <v>12480.000000000002</v>
      </c>
      <c r="O10" s="41">
        <f>N10+Model_1!O62</f>
        <v>12480.000000000002</v>
      </c>
      <c r="P10" s="41">
        <f>O10+Model_1!P62</f>
        <v>12480.000000000002</v>
      </c>
      <c r="Q10" s="41">
        <f>P10+Model_1!Q62</f>
        <v>12480.000000000002</v>
      </c>
      <c r="R10" s="41">
        <f>Q10+Model_1!R62</f>
        <v>12480.000000000002</v>
      </c>
      <c r="S10" s="41">
        <f>R10+Model_1!S62</f>
        <v>12480.000000000002</v>
      </c>
      <c r="T10" s="41">
        <f>S10+Model_1!T62</f>
        <v>12480.000000000002</v>
      </c>
      <c r="U10" s="41">
        <f>T10+Model_1!U62</f>
        <v>12480.000000000002</v>
      </c>
      <c r="V10" s="41">
        <f>U10+Model_1!V62</f>
        <v>12480.000000000002</v>
      </c>
      <c r="W10" s="41">
        <f>V10+Model_1!W62</f>
        <v>12480.000000000002</v>
      </c>
      <c r="X10" s="41">
        <f>W10+Model_1!X62</f>
        <v>12480.000000000002</v>
      </c>
      <c r="Y10" s="41">
        <f>X10+Model_1!Y62</f>
        <v>12480.000000000002</v>
      </c>
      <c r="Z10" s="41">
        <f>Y10+Model_1!Z62</f>
        <v>12480.000000000002</v>
      </c>
      <c r="AA10" s="41">
        <f>Z10+Model_1!AA62</f>
        <v>12480.000000000002</v>
      </c>
      <c r="AB10" s="41">
        <f>AA10+Model_1!AB62</f>
        <v>12480.000000000002</v>
      </c>
      <c r="AC10" s="41">
        <f>AB10+Model_1!AC62</f>
        <v>12480.000000000002</v>
      </c>
      <c r="AD10" s="41">
        <f>AC10+Model_1!AD62</f>
        <v>12480.000000000002</v>
      </c>
      <c r="AE10" s="41">
        <f>AD10+Model_1!AE62</f>
        <v>12480.000000000002</v>
      </c>
      <c r="AF10" s="41">
        <f>AE10+Model_1!AF62</f>
        <v>12480.000000000002</v>
      </c>
      <c r="AG10" s="41">
        <f>AF10+Model_1!AG62</f>
        <v>12480.000000000002</v>
      </c>
      <c r="AH10" s="41">
        <f>AG10+Model_1!AH62</f>
        <v>12480.000000000002</v>
      </c>
      <c r="AI10" s="41">
        <f>AH10+Model_1!AI62</f>
        <v>12480.000000000002</v>
      </c>
      <c r="AJ10" s="41">
        <f>AI10+Model_1!AJ62</f>
        <v>12480.000000000002</v>
      </c>
      <c r="AK10" s="41">
        <f>AJ10+Model_1!AK62</f>
        <v>12480.000000000002</v>
      </c>
      <c r="AL10" s="41">
        <f>AK10+Model_1!AL62</f>
        <v>12480.000000000002</v>
      </c>
      <c r="AM10" s="41">
        <f>AL10+Model_1!AM62</f>
        <v>12480.000000000002</v>
      </c>
      <c r="AN10" s="41">
        <f>AM10+Model_1!AN62</f>
        <v>12480.000000000002</v>
      </c>
      <c r="AO10" s="41">
        <f>AN10+Model_1!AO62</f>
        <v>12480.000000000002</v>
      </c>
      <c r="AP10" s="41">
        <f>AO10+Model_1!AP62</f>
        <v>12480.000000000002</v>
      </c>
      <c r="AQ10" s="41">
        <f>AP10+Model_1!AQ62</f>
        <v>12480.000000000002</v>
      </c>
      <c r="AR10" s="41">
        <f>AQ10+Model_1!AR62</f>
        <v>12480.000000000002</v>
      </c>
      <c r="AS10" s="41">
        <f>AR10+Model_1!AS62</f>
        <v>12480.000000000002</v>
      </c>
      <c r="AT10" s="41">
        <f>AS10+Model_1!AT62</f>
        <v>12480.000000000002</v>
      </c>
      <c r="AU10" s="41">
        <f>AT10+Model_1!AU62</f>
        <v>12480.000000000002</v>
      </c>
      <c r="AV10" s="41">
        <f>AU10+Model_1!AV62</f>
        <v>12480.000000000002</v>
      </c>
      <c r="AW10" s="41">
        <f>AV10+Model_1!AW62</f>
        <v>12480.000000000002</v>
      </c>
      <c r="AX10" s="41">
        <f>AW10+Model_1!AX62</f>
        <v>12480.000000000002</v>
      </c>
      <c r="AY10" s="41">
        <f>AX10+Model_1!AY62</f>
        <v>12480.000000000002</v>
      </c>
      <c r="AZ10" s="41"/>
      <c r="BA10" s="41"/>
      <c r="BB10" s="41"/>
    </row>
    <row r="11" spans="1:54" x14ac:dyDescent="0.45">
      <c r="A11" s="41" t="str">
        <f>Model_1!A63</f>
        <v>Tree removal</v>
      </c>
      <c r="B11" s="41">
        <f>Model_1!B63</f>
        <v>0</v>
      </c>
      <c r="C11" s="41">
        <f>B11+Model_1!C63</f>
        <v>0</v>
      </c>
      <c r="D11" s="41">
        <f>C11+Model_1!D63</f>
        <v>0</v>
      </c>
      <c r="E11" s="41">
        <f>D11+Model_1!E63</f>
        <v>0</v>
      </c>
      <c r="F11" s="41">
        <f>E11+Model_1!F63</f>
        <v>0</v>
      </c>
      <c r="G11" s="41">
        <f>F11+Model_1!G63</f>
        <v>0</v>
      </c>
      <c r="H11" s="41">
        <f>G11+Model_1!H63</f>
        <v>0</v>
      </c>
      <c r="I11" s="41">
        <f>H11+Model_1!I63</f>
        <v>0</v>
      </c>
      <c r="J11" s="41">
        <f>I11+Model_1!J63</f>
        <v>0</v>
      </c>
      <c r="K11" s="41">
        <f>J11+Model_1!K63</f>
        <v>0</v>
      </c>
      <c r="L11" s="41">
        <f>K11+Model_1!L63</f>
        <v>0</v>
      </c>
      <c r="M11" s="41">
        <f>L11+Model_1!M63</f>
        <v>0</v>
      </c>
      <c r="N11" s="41">
        <f>M11+Model_1!N63</f>
        <v>0</v>
      </c>
      <c r="O11" s="41">
        <f>N11+Model_1!O63</f>
        <v>0</v>
      </c>
      <c r="P11" s="41">
        <f>O11+Model_1!P63</f>
        <v>0</v>
      </c>
      <c r="Q11" s="41">
        <f>P11+Model_1!Q63</f>
        <v>0</v>
      </c>
      <c r="R11" s="41">
        <f>Q11+Model_1!R63</f>
        <v>0</v>
      </c>
      <c r="S11" s="41">
        <f>R11+Model_1!S63</f>
        <v>0</v>
      </c>
      <c r="T11" s="41">
        <f>S11+Model_1!T63</f>
        <v>0</v>
      </c>
      <c r="U11" s="41">
        <f>T11+Model_1!U63</f>
        <v>0</v>
      </c>
      <c r="V11" s="41">
        <f>U11+Model_1!V63</f>
        <v>0</v>
      </c>
      <c r="W11" s="41">
        <f>V11+Model_1!W63</f>
        <v>0</v>
      </c>
      <c r="X11" s="41">
        <f>W11+Model_1!X63</f>
        <v>0</v>
      </c>
      <c r="Y11" s="41">
        <f>X11+Model_1!Y63</f>
        <v>0</v>
      </c>
      <c r="Z11" s="41">
        <f>Y11+Model_1!Z63</f>
        <v>0</v>
      </c>
      <c r="AA11" s="41">
        <f>Z11+Model_1!AA63</f>
        <v>0</v>
      </c>
      <c r="AB11" s="41">
        <f>AA11+Model_1!AB63</f>
        <v>0</v>
      </c>
      <c r="AC11" s="41">
        <f>AB11+Model_1!AC63</f>
        <v>0</v>
      </c>
      <c r="AD11" s="41">
        <f>AC11+Model_1!AD63</f>
        <v>0</v>
      </c>
      <c r="AE11" s="41">
        <f>AD11+Model_1!AE63</f>
        <v>0</v>
      </c>
      <c r="AF11" s="41">
        <f>AE11+Model_1!AF63</f>
        <v>0</v>
      </c>
      <c r="AG11" s="41">
        <f>AF11+Model_1!AG63</f>
        <v>0</v>
      </c>
      <c r="AH11" s="41">
        <f>AG11+Model_1!AH63</f>
        <v>0</v>
      </c>
      <c r="AI11" s="41">
        <f>AH11+Model_1!AI63</f>
        <v>0</v>
      </c>
      <c r="AJ11" s="41">
        <f>AI11+Model_1!AJ63</f>
        <v>0</v>
      </c>
      <c r="AK11" s="41">
        <f>AJ11+Model_1!AK63</f>
        <v>0</v>
      </c>
      <c r="AL11" s="41">
        <f>AK11+Model_1!AL63</f>
        <v>0</v>
      </c>
      <c r="AM11" s="41">
        <f>AL11+Model_1!AM63</f>
        <v>0</v>
      </c>
      <c r="AN11" s="41">
        <f>AM11+Model_1!AN63</f>
        <v>0</v>
      </c>
      <c r="AO11" s="41">
        <f>AN11+Model_1!AO63</f>
        <v>0</v>
      </c>
      <c r="AP11" s="41">
        <f>AO11+Model_1!AP63</f>
        <v>0</v>
      </c>
      <c r="AQ11" s="41">
        <f>AP11+Model_1!AQ63</f>
        <v>0</v>
      </c>
      <c r="AR11" s="41">
        <f>AQ11+Model_1!AR63</f>
        <v>0</v>
      </c>
      <c r="AS11" s="41">
        <f>AR11+Model_1!AS63</f>
        <v>0</v>
      </c>
      <c r="AT11" s="41">
        <f>AS11+Model_1!AT63</f>
        <v>0</v>
      </c>
      <c r="AU11" s="41">
        <f>AT11+Model_1!AU63</f>
        <v>0</v>
      </c>
      <c r="AV11" s="41">
        <f>AU11+Model_1!AV63</f>
        <v>0</v>
      </c>
      <c r="AW11" s="41">
        <f>AV11+Model_1!AW63</f>
        <v>0</v>
      </c>
      <c r="AX11" s="41">
        <f>AW11+Model_1!AX63</f>
        <v>0</v>
      </c>
      <c r="AY11" s="41">
        <f>AX11+Model_1!AY63</f>
        <v>0</v>
      </c>
      <c r="AZ11" s="41"/>
      <c r="BA11" s="41"/>
      <c r="BB11" s="41"/>
    </row>
    <row r="12" spans="1:54" x14ac:dyDescent="0.45">
      <c r="A12" s="41" t="str">
        <f>Model_1!A64</f>
        <v>Soil cost ($/m3)</v>
      </c>
      <c r="B12" s="41">
        <f>Model_1!B64</f>
        <v>3182.4</v>
      </c>
      <c r="C12" s="41">
        <f>B12+Model_1!C64</f>
        <v>3182.4</v>
      </c>
      <c r="D12" s="41">
        <f>C12+Model_1!D64</f>
        <v>3182.4</v>
      </c>
      <c r="E12" s="41">
        <f>D12+Model_1!E64</f>
        <v>3182.4</v>
      </c>
      <c r="F12" s="41">
        <f>E12+Model_1!F64</f>
        <v>3182.4</v>
      </c>
      <c r="G12" s="41">
        <f>F12+Model_1!G64</f>
        <v>3182.4</v>
      </c>
      <c r="H12" s="41">
        <f>G12+Model_1!H64</f>
        <v>3182.4</v>
      </c>
      <c r="I12" s="41">
        <f>H12+Model_1!I64</f>
        <v>3182.4</v>
      </c>
      <c r="J12" s="41">
        <f>I12+Model_1!J64</f>
        <v>3182.4</v>
      </c>
      <c r="K12" s="41">
        <f>J12+Model_1!K64</f>
        <v>3182.4</v>
      </c>
      <c r="L12" s="41">
        <f>K12+Model_1!L64</f>
        <v>3182.4</v>
      </c>
      <c r="M12" s="41">
        <f>L12+Model_1!M64</f>
        <v>3182.4</v>
      </c>
      <c r="N12" s="41">
        <f>M12+Model_1!N64</f>
        <v>3182.4</v>
      </c>
      <c r="O12" s="41">
        <f>N12+Model_1!O64</f>
        <v>3182.4</v>
      </c>
      <c r="P12" s="41">
        <f>O12+Model_1!P64</f>
        <v>3182.4</v>
      </c>
      <c r="Q12" s="41">
        <f>P12+Model_1!Q64</f>
        <v>3182.4</v>
      </c>
      <c r="R12" s="41">
        <f>Q12+Model_1!R64</f>
        <v>3182.4</v>
      </c>
      <c r="S12" s="41">
        <f>R12+Model_1!S64</f>
        <v>3182.4</v>
      </c>
      <c r="T12" s="41">
        <f>S12+Model_1!T64</f>
        <v>3182.4</v>
      </c>
      <c r="U12" s="41">
        <f>T12+Model_1!U64</f>
        <v>3182.4</v>
      </c>
      <c r="V12" s="41">
        <f>U12+Model_1!V64</f>
        <v>3182.4</v>
      </c>
      <c r="W12" s="41">
        <f>V12+Model_1!W64</f>
        <v>3182.4</v>
      </c>
      <c r="X12" s="41">
        <f>W12+Model_1!X64</f>
        <v>3182.4</v>
      </c>
      <c r="Y12" s="41">
        <f>X12+Model_1!Y64</f>
        <v>3182.4</v>
      </c>
      <c r="Z12" s="41">
        <f>Y12+Model_1!Z64</f>
        <v>3182.4</v>
      </c>
      <c r="AA12" s="41">
        <f>Z12+Model_1!AA64</f>
        <v>3182.4</v>
      </c>
      <c r="AB12" s="41">
        <f>AA12+Model_1!AB64</f>
        <v>3182.4</v>
      </c>
      <c r="AC12" s="41">
        <f>AB12+Model_1!AC64</f>
        <v>3182.4</v>
      </c>
      <c r="AD12" s="41">
        <f>AC12+Model_1!AD64</f>
        <v>3182.4</v>
      </c>
      <c r="AE12" s="41">
        <f>AD12+Model_1!AE64</f>
        <v>3182.4</v>
      </c>
      <c r="AF12" s="41">
        <f>AE12+Model_1!AF64</f>
        <v>3182.4</v>
      </c>
      <c r="AG12" s="41">
        <f>AF12+Model_1!AG64</f>
        <v>3182.4</v>
      </c>
      <c r="AH12" s="41">
        <f>AG12+Model_1!AH64</f>
        <v>3182.4</v>
      </c>
      <c r="AI12" s="41">
        <f>AH12+Model_1!AI64</f>
        <v>3182.4</v>
      </c>
      <c r="AJ12" s="41">
        <f>AI12+Model_1!AJ64</f>
        <v>3182.4</v>
      </c>
      <c r="AK12" s="41">
        <f>AJ12+Model_1!AK64</f>
        <v>3182.4</v>
      </c>
      <c r="AL12" s="41">
        <f>AK12+Model_1!AL64</f>
        <v>3182.4</v>
      </c>
      <c r="AM12" s="41">
        <f>AL12+Model_1!AM64</f>
        <v>3182.4</v>
      </c>
      <c r="AN12" s="41">
        <f>AM12+Model_1!AN64</f>
        <v>3182.4</v>
      </c>
      <c r="AO12" s="41">
        <f>AN12+Model_1!AO64</f>
        <v>3182.4</v>
      </c>
      <c r="AP12" s="41">
        <f>AO12+Model_1!AP64</f>
        <v>3182.4</v>
      </c>
      <c r="AQ12" s="41">
        <f>AP12+Model_1!AQ64</f>
        <v>3182.4</v>
      </c>
      <c r="AR12" s="41">
        <f>AQ12+Model_1!AR64</f>
        <v>3182.4</v>
      </c>
      <c r="AS12" s="41">
        <f>AR12+Model_1!AS64</f>
        <v>3182.4</v>
      </c>
      <c r="AT12" s="41">
        <f>AS12+Model_1!AT64</f>
        <v>3182.4</v>
      </c>
      <c r="AU12" s="41">
        <f>AT12+Model_1!AU64</f>
        <v>3182.4</v>
      </c>
      <c r="AV12" s="41">
        <f>AU12+Model_1!AV64</f>
        <v>3182.4</v>
      </c>
      <c r="AW12" s="41">
        <f>AV12+Model_1!AW64</f>
        <v>3182.4</v>
      </c>
      <c r="AX12" s="41">
        <f>AW12+Model_1!AX64</f>
        <v>3182.4</v>
      </c>
      <c r="AY12" s="41">
        <f>AX12+Model_1!AY64</f>
        <v>3182.4</v>
      </c>
      <c r="AZ12" s="41"/>
      <c r="BA12" s="41"/>
      <c r="BB12" s="41"/>
    </row>
    <row r="13" spans="1:54" x14ac:dyDescent="0.45">
      <c r="A13" s="41" t="str">
        <f>Model_1!A65</f>
        <v>Tree protection fencing ($)</v>
      </c>
      <c r="B13" s="41">
        <f>Model_1!B65</f>
        <v>250</v>
      </c>
      <c r="C13" s="41">
        <f>B13+Model_1!C65</f>
        <v>250</v>
      </c>
      <c r="D13" s="41">
        <f>C13+Model_1!D65</f>
        <v>250</v>
      </c>
      <c r="E13" s="41">
        <f>D13+Model_1!E65</f>
        <v>250</v>
      </c>
      <c r="F13" s="41">
        <f>E13+Model_1!F65</f>
        <v>250</v>
      </c>
      <c r="G13" s="41">
        <f>F13+Model_1!G65</f>
        <v>250</v>
      </c>
      <c r="H13" s="41">
        <f>G13+Model_1!H65</f>
        <v>250</v>
      </c>
      <c r="I13" s="41">
        <f>H13+Model_1!I65</f>
        <v>250</v>
      </c>
      <c r="J13" s="41">
        <f>I13+Model_1!J65</f>
        <v>250</v>
      </c>
      <c r="K13" s="41">
        <f>J13+Model_1!K65</f>
        <v>250</v>
      </c>
      <c r="L13" s="41">
        <f>K13+Model_1!L65</f>
        <v>250</v>
      </c>
      <c r="M13" s="41">
        <f>L13+Model_1!M65</f>
        <v>250</v>
      </c>
      <c r="N13" s="41">
        <f>M13+Model_1!N65</f>
        <v>250</v>
      </c>
      <c r="O13" s="41">
        <f>N13+Model_1!O65</f>
        <v>250</v>
      </c>
      <c r="P13" s="41">
        <f>O13+Model_1!P65</f>
        <v>250</v>
      </c>
      <c r="Q13" s="41">
        <f>P13+Model_1!Q65</f>
        <v>250</v>
      </c>
      <c r="R13" s="41">
        <f>Q13+Model_1!R65</f>
        <v>250</v>
      </c>
      <c r="S13" s="41">
        <f>R13+Model_1!S65</f>
        <v>250</v>
      </c>
      <c r="T13" s="41">
        <f>S13+Model_1!T65</f>
        <v>250</v>
      </c>
      <c r="U13" s="41">
        <f>T13+Model_1!U65</f>
        <v>250</v>
      </c>
      <c r="V13" s="41">
        <f>U13+Model_1!V65</f>
        <v>250</v>
      </c>
      <c r="W13" s="41">
        <f>V13+Model_1!W65</f>
        <v>250</v>
      </c>
      <c r="X13" s="41">
        <f>W13+Model_1!X65</f>
        <v>250</v>
      </c>
      <c r="Y13" s="41">
        <f>X13+Model_1!Y65</f>
        <v>250</v>
      </c>
      <c r="Z13" s="41">
        <f>Y13+Model_1!Z65</f>
        <v>250</v>
      </c>
      <c r="AA13" s="41">
        <f>Z13+Model_1!AA65</f>
        <v>250</v>
      </c>
      <c r="AB13" s="41">
        <f>AA13+Model_1!AB65</f>
        <v>250</v>
      </c>
      <c r="AC13" s="41">
        <f>AB13+Model_1!AC65</f>
        <v>250</v>
      </c>
      <c r="AD13" s="41">
        <f>AC13+Model_1!AD65</f>
        <v>250</v>
      </c>
      <c r="AE13" s="41">
        <f>AD13+Model_1!AE65</f>
        <v>250</v>
      </c>
      <c r="AF13" s="41">
        <f>AE13+Model_1!AF65</f>
        <v>250</v>
      </c>
      <c r="AG13" s="41">
        <f>AF13+Model_1!AG65</f>
        <v>250</v>
      </c>
      <c r="AH13" s="41">
        <f>AG13+Model_1!AH65</f>
        <v>250</v>
      </c>
      <c r="AI13" s="41">
        <f>AH13+Model_1!AI65</f>
        <v>250</v>
      </c>
      <c r="AJ13" s="41">
        <f>AI13+Model_1!AJ65</f>
        <v>250</v>
      </c>
      <c r="AK13" s="41">
        <f>AJ13+Model_1!AK65</f>
        <v>250</v>
      </c>
      <c r="AL13" s="41">
        <f>AK13+Model_1!AL65</f>
        <v>250</v>
      </c>
      <c r="AM13" s="41">
        <f>AL13+Model_1!AM65</f>
        <v>250</v>
      </c>
      <c r="AN13" s="41">
        <f>AM13+Model_1!AN65</f>
        <v>250</v>
      </c>
      <c r="AO13" s="41">
        <f>AN13+Model_1!AO65</f>
        <v>250</v>
      </c>
      <c r="AP13" s="41">
        <f>AO13+Model_1!AP65</f>
        <v>250</v>
      </c>
      <c r="AQ13" s="41">
        <f>AP13+Model_1!AQ65</f>
        <v>250</v>
      </c>
      <c r="AR13" s="41">
        <f>AQ13+Model_1!AR65</f>
        <v>250</v>
      </c>
      <c r="AS13" s="41">
        <f>AR13+Model_1!AS65</f>
        <v>250</v>
      </c>
      <c r="AT13" s="41">
        <f>AS13+Model_1!AT65</f>
        <v>250</v>
      </c>
      <c r="AU13" s="41">
        <f>AT13+Model_1!AU65</f>
        <v>250</v>
      </c>
      <c r="AV13" s="41">
        <f>AU13+Model_1!AV65</f>
        <v>250</v>
      </c>
      <c r="AW13" s="41">
        <f>AV13+Model_1!AW65</f>
        <v>250</v>
      </c>
      <c r="AX13" s="41">
        <f>AW13+Model_1!AX65</f>
        <v>250</v>
      </c>
      <c r="AY13" s="41">
        <f>AX13+Model_1!AY65</f>
        <v>250</v>
      </c>
      <c r="AZ13" s="41"/>
      <c r="BA13" s="41"/>
      <c r="BB13" s="41"/>
    </row>
    <row r="14" spans="1:54" x14ac:dyDescent="0.45">
      <c r="A14" s="41" t="str">
        <f>Model_1!A66</f>
        <v>Traffic control cost ($)</v>
      </c>
      <c r="B14" s="41">
        <f>Model_1!B66</f>
        <v>0</v>
      </c>
      <c r="C14" s="41">
        <f>B14+Model_1!C66</f>
        <v>0</v>
      </c>
      <c r="D14" s="41">
        <f>C14+Model_1!D66</f>
        <v>0</v>
      </c>
      <c r="E14" s="41">
        <f>D14+Model_1!E66</f>
        <v>0</v>
      </c>
      <c r="F14" s="41">
        <f>E14+Model_1!F66</f>
        <v>0</v>
      </c>
      <c r="G14" s="41">
        <f>F14+Model_1!G66</f>
        <v>0</v>
      </c>
      <c r="H14" s="41">
        <f>G14+Model_1!H66</f>
        <v>0</v>
      </c>
      <c r="I14" s="41">
        <f>H14+Model_1!I66</f>
        <v>0</v>
      </c>
      <c r="J14" s="41">
        <f>I14+Model_1!J66</f>
        <v>0</v>
      </c>
      <c r="K14" s="41">
        <f>J14+Model_1!K66</f>
        <v>0</v>
      </c>
      <c r="L14" s="41">
        <f>K14+Model_1!L66</f>
        <v>0</v>
      </c>
      <c r="M14" s="41">
        <f>L14+Model_1!M66</f>
        <v>0</v>
      </c>
      <c r="N14" s="41">
        <f>M14+Model_1!N66</f>
        <v>0</v>
      </c>
      <c r="O14" s="41">
        <f>N14+Model_1!O66</f>
        <v>0</v>
      </c>
      <c r="P14" s="41">
        <f>O14+Model_1!P66</f>
        <v>0</v>
      </c>
      <c r="Q14" s="41">
        <f>P14+Model_1!Q66</f>
        <v>0</v>
      </c>
      <c r="R14" s="41">
        <f>Q14+Model_1!R66</f>
        <v>0</v>
      </c>
      <c r="S14" s="41">
        <f>R14+Model_1!S66</f>
        <v>0</v>
      </c>
      <c r="T14" s="41">
        <f>S14+Model_1!T66</f>
        <v>0</v>
      </c>
      <c r="U14" s="41">
        <f>T14+Model_1!U66</f>
        <v>0</v>
      </c>
      <c r="V14" s="41">
        <f>U14+Model_1!V66</f>
        <v>0</v>
      </c>
      <c r="W14" s="41">
        <f>V14+Model_1!W66</f>
        <v>0</v>
      </c>
      <c r="X14" s="41">
        <f>W14+Model_1!X66</f>
        <v>0</v>
      </c>
      <c r="Y14" s="41">
        <f>X14+Model_1!Y66</f>
        <v>0</v>
      </c>
      <c r="Z14" s="41">
        <f>Y14+Model_1!Z66</f>
        <v>0</v>
      </c>
      <c r="AA14" s="41">
        <f>Z14+Model_1!AA66</f>
        <v>0</v>
      </c>
      <c r="AB14" s="41">
        <f>AA14+Model_1!AB66</f>
        <v>0</v>
      </c>
      <c r="AC14" s="41">
        <f>AB14+Model_1!AC66</f>
        <v>0</v>
      </c>
      <c r="AD14" s="41">
        <f>AC14+Model_1!AD66</f>
        <v>0</v>
      </c>
      <c r="AE14" s="41">
        <f>AD14+Model_1!AE66</f>
        <v>0</v>
      </c>
      <c r="AF14" s="41">
        <f>AE14+Model_1!AF66</f>
        <v>0</v>
      </c>
      <c r="AG14" s="41">
        <f>AF14+Model_1!AG66</f>
        <v>0</v>
      </c>
      <c r="AH14" s="41">
        <f>AG14+Model_1!AH66</f>
        <v>0</v>
      </c>
      <c r="AI14" s="41">
        <f>AH14+Model_1!AI66</f>
        <v>0</v>
      </c>
      <c r="AJ14" s="41">
        <f>AI14+Model_1!AJ66</f>
        <v>0</v>
      </c>
      <c r="AK14" s="41">
        <f>AJ14+Model_1!AK66</f>
        <v>0</v>
      </c>
      <c r="AL14" s="41">
        <f>AK14+Model_1!AL66</f>
        <v>0</v>
      </c>
      <c r="AM14" s="41">
        <f>AL14+Model_1!AM66</f>
        <v>0</v>
      </c>
      <c r="AN14" s="41">
        <f>AM14+Model_1!AN66</f>
        <v>0</v>
      </c>
      <c r="AO14" s="41">
        <f>AN14+Model_1!AO66</f>
        <v>0</v>
      </c>
      <c r="AP14" s="41">
        <f>AO14+Model_1!AP66</f>
        <v>0</v>
      </c>
      <c r="AQ14" s="41">
        <f>AP14+Model_1!AQ66</f>
        <v>0</v>
      </c>
      <c r="AR14" s="41">
        <f>AQ14+Model_1!AR66</f>
        <v>0</v>
      </c>
      <c r="AS14" s="41">
        <f>AR14+Model_1!AS66</f>
        <v>0</v>
      </c>
      <c r="AT14" s="41">
        <f>AS14+Model_1!AT66</f>
        <v>0</v>
      </c>
      <c r="AU14" s="41">
        <f>AT14+Model_1!AU66</f>
        <v>0</v>
      </c>
      <c r="AV14" s="41">
        <f>AU14+Model_1!AV66</f>
        <v>0</v>
      </c>
      <c r="AW14" s="41">
        <f>AV14+Model_1!AW66</f>
        <v>0</v>
      </c>
      <c r="AX14" s="41">
        <f>AW14+Model_1!AX66</f>
        <v>0</v>
      </c>
      <c r="AY14" s="41">
        <f>AX14+Model_1!AY66</f>
        <v>0</v>
      </c>
      <c r="AZ14" s="41"/>
      <c r="BA14" s="41"/>
      <c r="BB14" s="41"/>
    </row>
    <row r="15" spans="1:54" x14ac:dyDescent="0.45">
      <c r="A15" s="41" t="str">
        <f>Model_1!A67</f>
        <v>Guard rails</v>
      </c>
      <c r="B15" s="41">
        <f>Model_1!B67</f>
        <v>0</v>
      </c>
      <c r="C15" s="41">
        <f>B15+Model_1!C67</f>
        <v>0</v>
      </c>
      <c r="D15" s="41">
        <f>C15+Model_1!D67</f>
        <v>0</v>
      </c>
      <c r="E15" s="41">
        <f>D15+Model_1!E67</f>
        <v>0</v>
      </c>
      <c r="F15" s="41">
        <f>E15+Model_1!F67</f>
        <v>0</v>
      </c>
      <c r="G15" s="41">
        <f>F15+Model_1!G67</f>
        <v>0</v>
      </c>
      <c r="H15" s="41">
        <f>G15+Model_1!H67</f>
        <v>0</v>
      </c>
      <c r="I15" s="41">
        <f>H15+Model_1!I67</f>
        <v>0</v>
      </c>
      <c r="J15" s="41">
        <f>I15+Model_1!J67</f>
        <v>0</v>
      </c>
      <c r="K15" s="41">
        <f>J15+Model_1!K67</f>
        <v>0</v>
      </c>
      <c r="L15" s="41">
        <f>K15+Model_1!L67</f>
        <v>0</v>
      </c>
      <c r="M15" s="41">
        <f>L15+Model_1!M67</f>
        <v>0</v>
      </c>
      <c r="N15" s="41">
        <f>M15+Model_1!N67</f>
        <v>0</v>
      </c>
      <c r="O15" s="41">
        <f>N15+Model_1!O67</f>
        <v>0</v>
      </c>
      <c r="P15" s="41">
        <f>O15+Model_1!P67</f>
        <v>0</v>
      </c>
      <c r="Q15" s="41">
        <f>P15+Model_1!Q67</f>
        <v>0</v>
      </c>
      <c r="R15" s="41">
        <f>Q15+Model_1!R67</f>
        <v>0</v>
      </c>
      <c r="S15" s="41">
        <f>R15+Model_1!S67</f>
        <v>0</v>
      </c>
      <c r="T15" s="41">
        <f>S15+Model_1!T67</f>
        <v>0</v>
      </c>
      <c r="U15" s="41">
        <f>T15+Model_1!U67</f>
        <v>0</v>
      </c>
      <c r="V15" s="41">
        <f>U15+Model_1!V67</f>
        <v>0</v>
      </c>
      <c r="W15" s="41">
        <f>V15+Model_1!W67</f>
        <v>0</v>
      </c>
      <c r="X15" s="41">
        <f>W15+Model_1!X67</f>
        <v>0</v>
      </c>
      <c r="Y15" s="41">
        <f>X15+Model_1!Y67</f>
        <v>0</v>
      </c>
      <c r="Z15" s="41">
        <f>Y15+Model_1!Z67</f>
        <v>0</v>
      </c>
      <c r="AA15" s="41">
        <f>Z15+Model_1!AA67</f>
        <v>0</v>
      </c>
      <c r="AB15" s="41">
        <f>AA15+Model_1!AB67</f>
        <v>0</v>
      </c>
      <c r="AC15" s="41">
        <f>AB15+Model_1!AC67</f>
        <v>0</v>
      </c>
      <c r="AD15" s="41">
        <f>AC15+Model_1!AD67</f>
        <v>0</v>
      </c>
      <c r="AE15" s="41">
        <f>AD15+Model_1!AE67</f>
        <v>0</v>
      </c>
      <c r="AF15" s="41">
        <f>AE15+Model_1!AF67</f>
        <v>0</v>
      </c>
      <c r="AG15" s="41">
        <f>AF15+Model_1!AG67</f>
        <v>0</v>
      </c>
      <c r="AH15" s="41">
        <f>AG15+Model_1!AH67</f>
        <v>0</v>
      </c>
      <c r="AI15" s="41">
        <f>AH15+Model_1!AI67</f>
        <v>0</v>
      </c>
      <c r="AJ15" s="41">
        <f>AI15+Model_1!AJ67</f>
        <v>0</v>
      </c>
      <c r="AK15" s="41">
        <f>AJ15+Model_1!AK67</f>
        <v>0</v>
      </c>
      <c r="AL15" s="41">
        <f>AK15+Model_1!AL67</f>
        <v>0</v>
      </c>
      <c r="AM15" s="41">
        <f>AL15+Model_1!AM67</f>
        <v>0</v>
      </c>
      <c r="AN15" s="41">
        <f>AM15+Model_1!AN67</f>
        <v>0</v>
      </c>
      <c r="AO15" s="41">
        <f>AN15+Model_1!AO67</f>
        <v>0</v>
      </c>
      <c r="AP15" s="41">
        <f>AO15+Model_1!AP67</f>
        <v>0</v>
      </c>
      <c r="AQ15" s="41">
        <f>AP15+Model_1!AQ67</f>
        <v>0</v>
      </c>
      <c r="AR15" s="41">
        <f>AQ15+Model_1!AR67</f>
        <v>0</v>
      </c>
      <c r="AS15" s="41">
        <f>AR15+Model_1!AS67</f>
        <v>0</v>
      </c>
      <c r="AT15" s="41">
        <f>AS15+Model_1!AT67</f>
        <v>0</v>
      </c>
      <c r="AU15" s="41">
        <f>AT15+Model_1!AU67</f>
        <v>0</v>
      </c>
      <c r="AV15" s="41">
        <f>AU15+Model_1!AV67</f>
        <v>0</v>
      </c>
      <c r="AW15" s="41">
        <f>AV15+Model_1!AW67</f>
        <v>0</v>
      </c>
      <c r="AX15" s="41">
        <f>AW15+Model_1!AX67</f>
        <v>0</v>
      </c>
      <c r="AY15" s="41">
        <f>AX15+Model_1!AY67</f>
        <v>0</v>
      </c>
      <c r="AZ15" s="41"/>
      <c r="BA15" s="41"/>
      <c r="BB15" s="41"/>
    </row>
    <row r="16" spans="1:54" x14ac:dyDescent="0.45">
      <c r="A16" s="41" t="str">
        <f>Model_1!A68</f>
        <v>StrataVault or Strata cells ($)</v>
      </c>
      <c r="B16" s="41">
        <f>Model_1!B68</f>
        <v>0</v>
      </c>
      <c r="C16" s="41">
        <f>B16+Model_1!C68</f>
        <v>0</v>
      </c>
      <c r="D16" s="41">
        <f>C16+Model_1!D68</f>
        <v>0</v>
      </c>
      <c r="E16" s="41">
        <f>D16+Model_1!E68</f>
        <v>0</v>
      </c>
      <c r="F16" s="41">
        <f>E16+Model_1!F68</f>
        <v>0</v>
      </c>
      <c r="G16" s="41">
        <f>F16+Model_1!G68</f>
        <v>0</v>
      </c>
      <c r="H16" s="41">
        <f>G16+Model_1!H68</f>
        <v>0</v>
      </c>
      <c r="I16" s="41">
        <f>H16+Model_1!I68</f>
        <v>0</v>
      </c>
      <c r="J16" s="41">
        <f>I16+Model_1!J68</f>
        <v>0</v>
      </c>
      <c r="K16" s="41">
        <f>J16+Model_1!K68</f>
        <v>0</v>
      </c>
      <c r="L16" s="41">
        <f>K16+Model_1!L68</f>
        <v>0</v>
      </c>
      <c r="M16" s="41">
        <f>L16+Model_1!M68</f>
        <v>0</v>
      </c>
      <c r="N16" s="41">
        <f>M16+Model_1!N68</f>
        <v>0</v>
      </c>
      <c r="O16" s="41">
        <f>N16+Model_1!O68</f>
        <v>0</v>
      </c>
      <c r="P16" s="41">
        <f>O16+Model_1!P68</f>
        <v>0</v>
      </c>
      <c r="Q16" s="41">
        <f>P16+Model_1!Q68</f>
        <v>0</v>
      </c>
      <c r="R16" s="41">
        <f>Q16+Model_1!R68</f>
        <v>0</v>
      </c>
      <c r="S16" s="41">
        <f>R16+Model_1!S68</f>
        <v>0</v>
      </c>
      <c r="T16" s="41">
        <f>S16+Model_1!T68</f>
        <v>0</v>
      </c>
      <c r="U16" s="41">
        <f>T16+Model_1!U68</f>
        <v>0</v>
      </c>
      <c r="V16" s="41">
        <f>U16+Model_1!V68</f>
        <v>0</v>
      </c>
      <c r="W16" s="41">
        <f>V16+Model_1!W68</f>
        <v>0</v>
      </c>
      <c r="X16" s="41">
        <f>W16+Model_1!X68</f>
        <v>0</v>
      </c>
      <c r="Y16" s="41">
        <f>X16+Model_1!Y68</f>
        <v>0</v>
      </c>
      <c r="Z16" s="41">
        <f>Y16+Model_1!Z68</f>
        <v>0</v>
      </c>
      <c r="AA16" s="41">
        <f>Z16+Model_1!AA68</f>
        <v>0</v>
      </c>
      <c r="AB16" s="41">
        <f>AA16+Model_1!AB68</f>
        <v>0</v>
      </c>
      <c r="AC16" s="41">
        <f>AB16+Model_1!AC68</f>
        <v>0</v>
      </c>
      <c r="AD16" s="41">
        <f>AC16+Model_1!AD68</f>
        <v>0</v>
      </c>
      <c r="AE16" s="41">
        <f>AD16+Model_1!AE68</f>
        <v>0</v>
      </c>
      <c r="AF16" s="41">
        <f>AE16+Model_1!AF68</f>
        <v>0</v>
      </c>
      <c r="AG16" s="41">
        <f>AF16+Model_1!AG68</f>
        <v>0</v>
      </c>
      <c r="AH16" s="41">
        <f>AG16+Model_1!AH68</f>
        <v>0</v>
      </c>
      <c r="AI16" s="41">
        <f>AH16+Model_1!AI68</f>
        <v>0</v>
      </c>
      <c r="AJ16" s="41">
        <f>AI16+Model_1!AJ68</f>
        <v>0</v>
      </c>
      <c r="AK16" s="41">
        <f>AJ16+Model_1!AK68</f>
        <v>0</v>
      </c>
      <c r="AL16" s="41">
        <f>AK16+Model_1!AL68</f>
        <v>0</v>
      </c>
      <c r="AM16" s="41">
        <f>AL16+Model_1!AM68</f>
        <v>0</v>
      </c>
      <c r="AN16" s="41">
        <f>AM16+Model_1!AN68</f>
        <v>0</v>
      </c>
      <c r="AO16" s="41">
        <f>AN16+Model_1!AO68</f>
        <v>0</v>
      </c>
      <c r="AP16" s="41">
        <f>AO16+Model_1!AP68</f>
        <v>0</v>
      </c>
      <c r="AQ16" s="41">
        <f>AP16+Model_1!AQ68</f>
        <v>0</v>
      </c>
      <c r="AR16" s="41">
        <f>AQ16+Model_1!AR68</f>
        <v>0</v>
      </c>
      <c r="AS16" s="41">
        <f>AR16+Model_1!AS68</f>
        <v>0</v>
      </c>
      <c r="AT16" s="41">
        <f>AS16+Model_1!AT68</f>
        <v>0</v>
      </c>
      <c r="AU16" s="41">
        <f>AT16+Model_1!AU68</f>
        <v>0</v>
      </c>
      <c r="AV16" s="41">
        <f>AU16+Model_1!AV68</f>
        <v>0</v>
      </c>
      <c r="AW16" s="41">
        <f>AV16+Model_1!AW68</f>
        <v>0</v>
      </c>
      <c r="AX16" s="41">
        <f>AW16+Model_1!AX68</f>
        <v>0</v>
      </c>
      <c r="AY16" s="41">
        <f>AX16+Model_1!AY68</f>
        <v>0</v>
      </c>
      <c r="AZ16" s="41"/>
      <c r="BA16" s="41"/>
      <c r="BB16" s="41"/>
    </row>
    <row r="17" spans="1:54" x14ac:dyDescent="0.45">
      <c r="A17" s="41" t="str">
        <f>Model_1!A69</f>
        <v>Watering costs</v>
      </c>
      <c r="B17" s="41">
        <f>Model_1!B69</f>
        <v>4800</v>
      </c>
      <c r="C17" s="41">
        <f>B17+Model_1!C69</f>
        <v>6440</v>
      </c>
      <c r="D17" s="41">
        <f>C17+Model_1!D69</f>
        <v>8121</v>
      </c>
      <c r="E17" s="41">
        <f>D17+Model_1!E69</f>
        <v>9844.0249999999996</v>
      </c>
      <c r="F17" s="41">
        <f>E17+Model_1!F69</f>
        <v>11610.125624999999</v>
      </c>
      <c r="G17" s="41">
        <f>F17+Model_1!G69</f>
        <v>13420.378765624999</v>
      </c>
      <c r="H17" s="41">
        <f>G17+Model_1!H69</f>
        <v>15275.888234765624</v>
      </c>
      <c r="I17" s="41">
        <f>H17+Model_1!I69</f>
        <v>17177.785440634765</v>
      </c>
      <c r="J17" s="41">
        <f>I17+Model_1!J69</f>
        <v>19127.230076650634</v>
      </c>
      <c r="K17" s="41">
        <f>J17+Model_1!K69</f>
        <v>21125.410828566899</v>
      </c>
      <c r="L17" s="41">
        <f>K17+Model_1!L69</f>
        <v>23173.546099281069</v>
      </c>
      <c r="M17" s="41">
        <f>L17+Model_1!M69</f>
        <v>25272.884751763097</v>
      </c>
      <c r="N17" s="41">
        <f>M17+Model_1!N69</f>
        <v>27424.706870557173</v>
      </c>
      <c r="O17" s="41">
        <f>N17+Model_1!O69</f>
        <v>29630.324542321101</v>
      </c>
      <c r="P17" s="41">
        <f>O17+Model_1!P69</f>
        <v>31891.082655879127</v>
      </c>
      <c r="Q17" s="41">
        <f>P17+Model_1!Q69</f>
        <v>34208.359722276102</v>
      </c>
      <c r="R17" s="41">
        <f>Q17+Model_1!R69</f>
        <v>36583.568715333</v>
      </c>
      <c r="S17" s="41">
        <f>R17+Model_1!S69</f>
        <v>39018.157933216324</v>
      </c>
      <c r="T17" s="41">
        <f>S17+Model_1!T69</f>
        <v>41513.611881546727</v>
      </c>
      <c r="U17" s="41">
        <f>T17+Model_1!U69</f>
        <v>44071.452178585394</v>
      </c>
      <c r="V17" s="41">
        <f>U17+Model_1!V69</f>
        <v>46693.238483050023</v>
      </c>
      <c r="W17" s="41">
        <f>V17+Model_1!W69</f>
        <v>49380.569445126268</v>
      </c>
      <c r="X17" s="41">
        <f>W17+Model_1!X69</f>
        <v>52135.083681254422</v>
      </c>
      <c r="Y17" s="41">
        <f>X17+Model_1!Y69</f>
        <v>54958.460773285784</v>
      </c>
      <c r="Z17" s="41">
        <f>Y17+Model_1!Z69</f>
        <v>57852.422292617928</v>
      </c>
      <c r="AA17" s="41">
        <f>Z17+Model_1!AA69</f>
        <v>60818.732849933374</v>
      </c>
      <c r="AB17" s="41">
        <f>AA17+Model_1!AB69</f>
        <v>63859.201171181703</v>
      </c>
      <c r="AC17" s="41">
        <f>AB17+Model_1!AC69</f>
        <v>66975.681200461244</v>
      </c>
      <c r="AD17" s="41">
        <f>AC17+Model_1!AD69</f>
        <v>70170.073230472772</v>
      </c>
      <c r="AE17" s="41">
        <f>AD17+Model_1!AE69</f>
        <v>73444.325061234587</v>
      </c>
      <c r="AF17" s="41">
        <f>AE17+Model_1!AF69</f>
        <v>76800.433187765448</v>
      </c>
      <c r="AG17" s="41">
        <f>AF17+Model_1!AG69</f>
        <v>80240.44401745958</v>
      </c>
      <c r="AH17" s="41">
        <f>AG17+Model_1!AH69</f>
        <v>83766.455117896068</v>
      </c>
      <c r="AI17" s="41">
        <f>AH17+Model_1!AI69</f>
        <v>87380.616495843467</v>
      </c>
      <c r="AJ17" s="41">
        <f>AI17+Model_1!AJ69</f>
        <v>91085.131908239549</v>
      </c>
      <c r="AK17" s="41">
        <f>AJ17+Model_1!AK69</f>
        <v>94882.260205945538</v>
      </c>
      <c r="AL17" s="41">
        <f>AK17+Model_1!AL69</f>
        <v>98774.316711094172</v>
      </c>
      <c r="AM17" s="41">
        <f>AL17+Model_1!AM69</f>
        <v>102763.67462887152</v>
      </c>
      <c r="AN17" s="41">
        <f>AM17+Model_1!AN69</f>
        <v>106852.76649459331</v>
      </c>
      <c r="AO17" s="41">
        <f>AN17+Model_1!AO69</f>
        <v>111044.08565695814</v>
      </c>
      <c r="AP17" s="41">
        <f>AO17+Model_1!AP69</f>
        <v>115340.18779838209</v>
      </c>
      <c r="AQ17" s="41">
        <f>AP17+Model_1!AQ69</f>
        <v>119743.69249334163</v>
      </c>
      <c r="AR17" s="41">
        <f>AQ17+Model_1!AR69</f>
        <v>124257.28480567517</v>
      </c>
      <c r="AS17" s="41">
        <f>AR17+Model_1!AS69</f>
        <v>128883.71692581705</v>
      </c>
      <c r="AT17" s="41">
        <f>AS17+Model_1!AT69</f>
        <v>133625.80984896247</v>
      </c>
      <c r="AU17" s="41">
        <f>AT17+Model_1!AU69</f>
        <v>138486.45509518651</v>
      </c>
      <c r="AV17" s="41">
        <f>AU17+Model_1!AV69</f>
        <v>143468.61647256615</v>
      </c>
      <c r="AW17" s="41">
        <f>AV17+Model_1!AW69</f>
        <v>148575.33188438028</v>
      </c>
      <c r="AX17" s="41">
        <f>AW17+Model_1!AX69</f>
        <v>153809.7151814898</v>
      </c>
      <c r="AY17" s="41">
        <f>AX17+Model_1!AY69</f>
        <v>159174.95806102702</v>
      </c>
      <c r="AZ17" s="41"/>
      <c r="BA17" s="41"/>
      <c r="BB17" s="41"/>
    </row>
    <row r="18" spans="1:54" x14ac:dyDescent="0.45">
      <c r="A18" s="41" t="str">
        <f>Model_1!A70</f>
        <v>Maintenance</v>
      </c>
      <c r="B18" s="41">
        <f>Model_1!B70</f>
        <v>23642.666666666668</v>
      </c>
      <c r="C18" s="41">
        <f>B18+Model_1!C70</f>
        <v>30038.666666666668</v>
      </c>
      <c r="D18" s="41">
        <f>C18+Model_1!D70</f>
        <v>34955.591666666667</v>
      </c>
      <c r="E18" s="41">
        <f>D18+Model_1!E70</f>
        <v>39995.439791666664</v>
      </c>
      <c r="F18" s="41">
        <f>E18+Model_1!F70</f>
        <v>45161.284119791664</v>
      </c>
      <c r="G18" s="41">
        <f>F18+Model_1!G70</f>
        <v>50456.274556119788</v>
      </c>
      <c r="H18" s="41">
        <f>G18+Model_1!H70</f>
        <v>55883.63975335611</v>
      </c>
      <c r="I18" s="41">
        <f>H18+Model_1!I70</f>
        <v>61446.689080523342</v>
      </c>
      <c r="J18" s="41">
        <f>I18+Model_1!J70</f>
        <v>67148.81464086975</v>
      </c>
      <c r="K18" s="41">
        <f>J18+Model_1!K70</f>
        <v>72993.493340224828</v>
      </c>
      <c r="L18" s="41">
        <f>K18+Model_1!L70</f>
        <v>78984.28900706378</v>
      </c>
      <c r="M18" s="41">
        <f>L18+Model_1!M70</f>
        <v>85124.854565573711</v>
      </c>
      <c r="N18" s="41">
        <f>M18+Model_1!N70</f>
        <v>91418.93426304638</v>
      </c>
      <c r="O18" s="41">
        <f>N18+Model_1!O70</f>
        <v>97870.365952955864</v>
      </c>
      <c r="P18" s="41">
        <f>O18+Model_1!P70</f>
        <v>104483.08343511309</v>
      </c>
      <c r="Q18" s="41">
        <f>P18+Model_1!Q70</f>
        <v>111261.11885432425</v>
      </c>
      <c r="R18" s="41">
        <f>Q18+Model_1!R70</f>
        <v>118208.60515901569</v>
      </c>
      <c r="S18" s="41">
        <f>R18+Model_1!S70</f>
        <v>125329.77862132441</v>
      </c>
      <c r="T18" s="41">
        <f>S18+Model_1!T70</f>
        <v>132628.98142019086</v>
      </c>
      <c r="U18" s="41">
        <f>T18+Model_1!U70</f>
        <v>140110.66428902897</v>
      </c>
      <c r="V18" s="41">
        <f>U18+Model_1!V70</f>
        <v>147779.38922958801</v>
      </c>
      <c r="W18" s="41">
        <f>V18+Model_1!W70</f>
        <v>155639.83229366102</v>
      </c>
      <c r="X18" s="41">
        <f>W18+Model_1!X70</f>
        <v>163696.78643433587</v>
      </c>
      <c r="Y18" s="41">
        <f>X18+Model_1!Y70</f>
        <v>171955.16442852758</v>
      </c>
      <c r="Z18" s="41">
        <f>Y18+Model_1!Z70</f>
        <v>180420.0018725741</v>
      </c>
      <c r="AA18" s="41">
        <f>Z18+Model_1!AA70</f>
        <v>189096.46025272176</v>
      </c>
      <c r="AB18" s="41">
        <f>AA18+Model_1!AB70</f>
        <v>197989.83009237313</v>
      </c>
      <c r="AC18" s="41">
        <f>AB18+Model_1!AC70</f>
        <v>207105.53417801578</v>
      </c>
      <c r="AD18" s="41">
        <f>AC18+Model_1!AD70</f>
        <v>216449.1308657995</v>
      </c>
      <c r="AE18" s="41">
        <f>AD18+Model_1!AE70</f>
        <v>226026.31747077781</v>
      </c>
      <c r="AF18" s="41">
        <f>AE18+Model_1!AF70</f>
        <v>235842.93374088057</v>
      </c>
      <c r="AG18" s="41">
        <f>AF18+Model_1!AG70</f>
        <v>245904.96541773592</v>
      </c>
      <c r="AH18" s="41">
        <f>AG18+Model_1!AH70</f>
        <v>256218.54788651265</v>
      </c>
      <c r="AI18" s="41">
        <f>AH18+Model_1!AI70</f>
        <v>266789.96991700877</v>
      </c>
      <c r="AJ18" s="41">
        <f>AI18+Model_1!AJ70</f>
        <v>277625.67749826732</v>
      </c>
      <c r="AK18" s="41">
        <f>AJ18+Model_1!AK70</f>
        <v>288732.27776905731</v>
      </c>
      <c r="AL18" s="41">
        <f>AK18+Model_1!AL70</f>
        <v>300116.54304661707</v>
      </c>
      <c r="AM18" s="41">
        <f>AL18+Model_1!AM70</f>
        <v>311785.41495611583</v>
      </c>
      <c r="AN18" s="41">
        <f>AM18+Model_1!AN70</f>
        <v>323746.00866335206</v>
      </c>
      <c r="AO18" s="41">
        <f>AN18+Model_1!AO70</f>
        <v>336005.61721326917</v>
      </c>
      <c r="AP18" s="41">
        <f>AO18+Model_1!AP70</f>
        <v>348571.71597693424</v>
      </c>
      <c r="AQ18" s="41">
        <f>AP18+Model_1!AQ70</f>
        <v>361451.96720969089</v>
      </c>
      <c r="AR18" s="41">
        <f>AQ18+Model_1!AR70</f>
        <v>374654.2247232665</v>
      </c>
      <c r="AS18" s="41">
        <f>AR18+Model_1!AS70</f>
        <v>388186.53867468145</v>
      </c>
      <c r="AT18" s="41">
        <f>AS18+Model_1!AT70</f>
        <v>402057.16047488182</v>
      </c>
      <c r="AU18" s="41">
        <f>AT18+Model_1!AU70</f>
        <v>416274.54782008717</v>
      </c>
      <c r="AV18" s="41">
        <f>AU18+Model_1!AV70</f>
        <v>430847.36984892265</v>
      </c>
      <c r="AW18" s="41">
        <f>AV18+Model_1!AW70</f>
        <v>445784.51242847904</v>
      </c>
      <c r="AX18" s="41">
        <f>AW18+Model_1!AX70</f>
        <v>461095.08357252431</v>
      </c>
      <c r="AY18" s="41">
        <f>AX18+Model_1!AY70</f>
        <v>476788.41899517074</v>
      </c>
      <c r="AZ18" s="41"/>
      <c r="BA18" s="41"/>
      <c r="BB18" s="41"/>
    </row>
    <row r="19" spans="1:54" x14ac:dyDescent="0.45">
      <c r="A19" s="41" t="str">
        <f>Model_1!A71</f>
        <v>Arborist tree health inspection ($)</v>
      </c>
      <c r="B19" s="41">
        <f>Model_1!B71</f>
        <v>500</v>
      </c>
      <c r="C19" s="41">
        <f>B19+Model_1!C71</f>
        <v>1012.5</v>
      </c>
      <c r="D19" s="41">
        <f>C19+Model_1!D71</f>
        <v>1537.8125</v>
      </c>
      <c r="E19" s="41">
        <f>D19+Model_1!E71</f>
        <v>2076.2578125</v>
      </c>
      <c r="F19" s="41">
        <f>E19+Model_1!F71</f>
        <v>2628.1642578124997</v>
      </c>
      <c r="G19" s="41">
        <f>F19+Model_1!G71</f>
        <v>3193.8683642578121</v>
      </c>
      <c r="H19" s="41">
        <f>G19+Model_1!H71</f>
        <v>3773.7150733642575</v>
      </c>
      <c r="I19" s="41">
        <f>H19+Model_1!I71</f>
        <v>4368.0579501983639</v>
      </c>
      <c r="J19" s="41">
        <f>I19+Model_1!J71</f>
        <v>4977.2593989533225</v>
      </c>
      <c r="K19" s="41">
        <f>J19+Model_1!K71</f>
        <v>5601.6908839271555</v>
      </c>
      <c r="L19" s="41">
        <f>K19+Model_1!L71</f>
        <v>6241.7331560253342</v>
      </c>
      <c r="M19" s="41">
        <f>L19+Model_1!M71</f>
        <v>6897.7764849259675</v>
      </c>
      <c r="N19" s="41">
        <f>M19+Model_1!N71</f>
        <v>7570.2208970491165</v>
      </c>
      <c r="O19" s="41">
        <f>N19+Model_1!O71</f>
        <v>8259.4764194753443</v>
      </c>
      <c r="P19" s="41">
        <f>O19+Model_1!P71</f>
        <v>8965.9633299622274</v>
      </c>
      <c r="Q19" s="41">
        <f>P19+Model_1!Q71</f>
        <v>9690.1124132112818</v>
      </c>
      <c r="R19" s="41">
        <f>Q19+Model_1!R71</f>
        <v>10432.365223541563</v>
      </c>
      <c r="S19" s="41">
        <f>R19+Model_1!S71</f>
        <v>11193.174354130102</v>
      </c>
      <c r="T19" s="41">
        <f>S19+Model_1!T71</f>
        <v>11973.003712983354</v>
      </c>
      <c r="U19" s="41">
        <f>T19+Model_1!U71</f>
        <v>12772.328805807938</v>
      </c>
      <c r="V19" s="41">
        <f>U19+Model_1!V71</f>
        <v>13591.637025953136</v>
      </c>
      <c r="W19" s="41">
        <f>V19+Model_1!W71</f>
        <v>14431.427951601963</v>
      </c>
      <c r="X19" s="41">
        <f>W19+Model_1!X71</f>
        <v>15292.213650392012</v>
      </c>
      <c r="Y19" s="41">
        <f>X19+Model_1!Y71</f>
        <v>16174.518991651812</v>
      </c>
      <c r="Z19" s="41">
        <f>Y19+Model_1!Z71</f>
        <v>17078.881966443107</v>
      </c>
      <c r="AA19" s="41">
        <f>Z19+Model_1!AA71</f>
        <v>18005.854015604182</v>
      </c>
      <c r="AB19" s="41">
        <f>AA19+Model_1!AB71</f>
        <v>18956.000365994285</v>
      </c>
      <c r="AC19" s="41">
        <f>AB19+Model_1!AC71</f>
        <v>19929.900375144141</v>
      </c>
      <c r="AD19" s="41">
        <f>AC19+Model_1!AD71</f>
        <v>20928.147884522743</v>
      </c>
      <c r="AE19" s="41">
        <f>AD19+Model_1!AE71</f>
        <v>21951.351581635812</v>
      </c>
      <c r="AF19" s="41">
        <f>AE19+Model_1!AF71</f>
        <v>23000.135371176708</v>
      </c>
      <c r="AG19" s="41">
        <f>AF19+Model_1!AG71</f>
        <v>24075.138755456126</v>
      </c>
      <c r="AH19" s="41">
        <f>AG19+Model_1!AH71</f>
        <v>25177.01722434253</v>
      </c>
      <c r="AI19" s="41">
        <f>AH19+Model_1!AI71</f>
        <v>26306.44265495109</v>
      </c>
      <c r="AJ19" s="41">
        <f>AI19+Model_1!AJ71</f>
        <v>27464.103721324867</v>
      </c>
      <c r="AK19" s="41">
        <f>AJ19+Model_1!AK71</f>
        <v>28650.706314357987</v>
      </c>
      <c r="AL19" s="41">
        <f>AK19+Model_1!AL71</f>
        <v>29866.973972216936</v>
      </c>
      <c r="AM19" s="41">
        <f>AL19+Model_1!AM71</f>
        <v>31113.648321522356</v>
      </c>
      <c r="AN19" s="41">
        <f>AM19+Model_1!AN71</f>
        <v>32391.489529560415</v>
      </c>
      <c r="AO19" s="41">
        <f>AN19+Model_1!AO71</f>
        <v>33701.27676779942</v>
      </c>
      <c r="AP19" s="41">
        <f>AO19+Model_1!AP71</f>
        <v>35043.808686994402</v>
      </c>
      <c r="AQ19" s="41">
        <f>AP19+Model_1!AQ71</f>
        <v>36419.903904169259</v>
      </c>
      <c r="AR19" s="41">
        <f>AQ19+Model_1!AR71</f>
        <v>37830.401501773486</v>
      </c>
      <c r="AS19" s="41">
        <f>AR19+Model_1!AS71</f>
        <v>39276.161539317822</v>
      </c>
      <c r="AT19" s="41">
        <f>AS19+Model_1!AT71</f>
        <v>40758.065577800764</v>
      </c>
      <c r="AU19" s="41">
        <f>AT19+Model_1!AU71</f>
        <v>42277.017217245782</v>
      </c>
      <c r="AV19" s="41">
        <f>AU19+Model_1!AV71</f>
        <v>43833.942647676922</v>
      </c>
      <c r="AW19" s="41">
        <f>AV19+Model_1!AW71</f>
        <v>45429.791213868841</v>
      </c>
      <c r="AX19" s="41">
        <f>AW19+Model_1!AX71</f>
        <v>47065.535994215563</v>
      </c>
      <c r="AY19" s="41">
        <f>AX19+Model_1!AY71</f>
        <v>48742.174394070949</v>
      </c>
      <c r="AZ19" s="41"/>
      <c r="BA19" s="41"/>
      <c r="BB19" s="41"/>
    </row>
    <row r="20" spans="1:54" x14ac:dyDescent="0.45">
      <c r="A20" s="41" t="str">
        <f>Model_1!A72</f>
        <v>Visual tree inspection ($)</v>
      </c>
      <c r="B20" s="41">
        <f>Model_1!B72</f>
        <v>300</v>
      </c>
      <c r="C20" s="41">
        <f>B20+Model_1!C72</f>
        <v>607.5</v>
      </c>
      <c r="D20" s="41">
        <f>C20+Model_1!D72</f>
        <v>922.6875</v>
      </c>
      <c r="E20" s="41">
        <f>D20+Model_1!E72</f>
        <v>1245.7546875</v>
      </c>
      <c r="F20" s="41">
        <f>E20+Model_1!F72</f>
        <v>1576.8985546875001</v>
      </c>
      <c r="G20" s="41">
        <f>F20+Model_1!G72</f>
        <v>1916.3210185546875</v>
      </c>
      <c r="H20" s="41">
        <f>G20+Model_1!H72</f>
        <v>2264.2290440185543</v>
      </c>
      <c r="I20" s="41">
        <f>H20+Model_1!I72</f>
        <v>2620.8347701190182</v>
      </c>
      <c r="J20" s="41">
        <f>I20+Model_1!J72</f>
        <v>2986.3556393719937</v>
      </c>
      <c r="K20" s="41">
        <f>J20+Model_1!K72</f>
        <v>3361.0145303562931</v>
      </c>
      <c r="L20" s="41">
        <f>K20+Model_1!L72</f>
        <v>3745.0398936152001</v>
      </c>
      <c r="M20" s="41">
        <f>L20+Model_1!M72</f>
        <v>4138.6658909555799</v>
      </c>
      <c r="N20" s="41">
        <f>M20+Model_1!N72</f>
        <v>4542.132538229469</v>
      </c>
      <c r="O20" s="41">
        <f>N20+Model_1!O72</f>
        <v>4955.6858516852053</v>
      </c>
      <c r="P20" s="41">
        <f>O20+Model_1!P72</f>
        <v>5379.5779979773351</v>
      </c>
      <c r="Q20" s="41">
        <f>P20+Model_1!Q72</f>
        <v>5814.0674479267682</v>
      </c>
      <c r="R20" s="41">
        <f>Q20+Model_1!R72</f>
        <v>6259.419134124937</v>
      </c>
      <c r="S20" s="41">
        <f>R20+Model_1!S72</f>
        <v>6715.9046124780598</v>
      </c>
      <c r="T20" s="41">
        <f>S20+Model_1!T72</f>
        <v>7183.8022277900109</v>
      </c>
      <c r="U20" s="41">
        <f>T20+Model_1!U72</f>
        <v>7663.3972834847609</v>
      </c>
      <c r="V20" s="41">
        <f>U20+Model_1!V72</f>
        <v>8154.9822155718794</v>
      </c>
      <c r="W20" s="41">
        <f>V20+Model_1!W72</f>
        <v>8658.8567709611762</v>
      </c>
      <c r="X20" s="41">
        <f>W20+Model_1!X72</f>
        <v>9175.3281902352046</v>
      </c>
      <c r="Y20" s="41">
        <f>X20+Model_1!Y72</f>
        <v>9704.7113949910836</v>
      </c>
      <c r="Z20" s="41">
        <f>Y20+Model_1!Z72</f>
        <v>10247.329179865861</v>
      </c>
      <c r="AA20" s="41">
        <f>Z20+Model_1!AA72</f>
        <v>10803.512409362507</v>
      </c>
      <c r="AB20" s="41">
        <f>AA20+Model_1!AB72</f>
        <v>11373.60021959657</v>
      </c>
      <c r="AC20" s="41">
        <f>AB20+Model_1!AC72</f>
        <v>11957.940225086484</v>
      </c>
      <c r="AD20" s="41">
        <f>AC20+Model_1!AD72</f>
        <v>12556.888730713647</v>
      </c>
      <c r="AE20" s="41">
        <f>AD20+Model_1!AE72</f>
        <v>13170.810948981487</v>
      </c>
      <c r="AF20" s="41">
        <f>AE20+Model_1!AF72</f>
        <v>13800.081222706023</v>
      </c>
      <c r="AG20" s="41">
        <f>AF20+Model_1!AG72</f>
        <v>14445.083253273673</v>
      </c>
      <c r="AH20" s="41">
        <f>AG20+Model_1!AH72</f>
        <v>15106.210334605514</v>
      </c>
      <c r="AI20" s="41">
        <f>AH20+Model_1!AI72</f>
        <v>15783.865592970651</v>
      </c>
      <c r="AJ20" s="41">
        <f>AI20+Model_1!AJ72</f>
        <v>16478.462232794918</v>
      </c>
      <c r="AK20" s="41">
        <f>AJ20+Model_1!AK72</f>
        <v>17190.423788614789</v>
      </c>
      <c r="AL20" s="41">
        <f>AK20+Model_1!AL72</f>
        <v>17920.184383330157</v>
      </c>
      <c r="AM20" s="41">
        <f>AL20+Model_1!AM72</f>
        <v>18668.188992913409</v>
      </c>
      <c r="AN20" s="41">
        <f>AM20+Model_1!AN72</f>
        <v>19434.893717736242</v>
      </c>
      <c r="AO20" s="41">
        <f>AN20+Model_1!AO72</f>
        <v>20220.766060679649</v>
      </c>
      <c r="AP20" s="41">
        <f>AO20+Model_1!AP72</f>
        <v>21026.285212196639</v>
      </c>
      <c r="AQ20" s="41">
        <f>AP20+Model_1!AQ72</f>
        <v>21851.942342501552</v>
      </c>
      <c r="AR20" s="41">
        <f>AQ20+Model_1!AR72</f>
        <v>22698.240901064091</v>
      </c>
      <c r="AS20" s="41">
        <f>AR20+Model_1!AS72</f>
        <v>23565.696923590691</v>
      </c>
      <c r="AT20" s="41">
        <f>AS20+Model_1!AT72</f>
        <v>24454.839346680455</v>
      </c>
      <c r="AU20" s="41">
        <f>AT20+Model_1!AU72</f>
        <v>25366.210330347465</v>
      </c>
      <c r="AV20" s="41">
        <f>AU20+Model_1!AV72</f>
        <v>26300.36558860615</v>
      </c>
      <c r="AW20" s="41">
        <f>AV20+Model_1!AW72</f>
        <v>27257.874728321302</v>
      </c>
      <c r="AX20" s="41">
        <f>AW20+Model_1!AX72</f>
        <v>28239.321596529331</v>
      </c>
      <c r="AY20" s="41">
        <f>AX20+Model_1!AY72</f>
        <v>29245.304636442565</v>
      </c>
      <c r="AZ20" s="41"/>
      <c r="BA20" s="41"/>
      <c r="BB20" s="41"/>
    </row>
    <row r="21" spans="1:54" x14ac:dyDescent="0.45">
      <c r="A21" s="41" t="str">
        <f>Model_1!A73</f>
        <v>GIS mapping and inventory assessment ($)</v>
      </c>
      <c r="B21" s="41">
        <f>Model_1!B73</f>
        <v>240</v>
      </c>
      <c r="C21" s="41">
        <f>B21+Model_1!C73</f>
        <v>240</v>
      </c>
      <c r="D21" s="41">
        <f>C21+Model_1!D73</f>
        <v>240</v>
      </c>
      <c r="E21" s="41">
        <f>D21+Model_1!E73</f>
        <v>240</v>
      </c>
      <c r="F21" s="41">
        <f>E21+Model_1!F73</f>
        <v>240</v>
      </c>
      <c r="G21" s="41">
        <f>F21+Model_1!G73</f>
        <v>240</v>
      </c>
      <c r="H21" s="41">
        <f>G21+Model_1!H73</f>
        <v>240</v>
      </c>
      <c r="I21" s="41">
        <f>H21+Model_1!I73</f>
        <v>240</v>
      </c>
      <c r="J21" s="41">
        <f>I21+Model_1!J73</f>
        <v>240</v>
      </c>
      <c r="K21" s="41">
        <f>J21+Model_1!K73</f>
        <v>240</v>
      </c>
      <c r="L21" s="41">
        <f>K21+Model_1!L73</f>
        <v>240</v>
      </c>
      <c r="M21" s="41">
        <f>L21+Model_1!M73</f>
        <v>240</v>
      </c>
      <c r="N21" s="41">
        <f>M21+Model_1!N73</f>
        <v>240</v>
      </c>
      <c r="O21" s="41">
        <f>N21+Model_1!O73</f>
        <v>240</v>
      </c>
      <c r="P21" s="41">
        <f>O21+Model_1!P73</f>
        <v>240</v>
      </c>
      <c r="Q21" s="41">
        <f>P21+Model_1!Q73</f>
        <v>240</v>
      </c>
      <c r="R21" s="41">
        <f>Q21+Model_1!R73</f>
        <v>240</v>
      </c>
      <c r="S21" s="41">
        <f>R21+Model_1!S73</f>
        <v>240</v>
      </c>
      <c r="T21" s="41">
        <f>S21+Model_1!T73</f>
        <v>240</v>
      </c>
      <c r="U21" s="41">
        <f>T21+Model_1!U73</f>
        <v>240</v>
      </c>
      <c r="V21" s="41">
        <f>U21+Model_1!V73</f>
        <v>240</v>
      </c>
      <c r="W21" s="41">
        <f>V21+Model_1!W73</f>
        <v>240</v>
      </c>
      <c r="X21" s="41">
        <f>W21+Model_1!X73</f>
        <v>240</v>
      </c>
      <c r="Y21" s="41">
        <f>X21+Model_1!Y73</f>
        <v>240</v>
      </c>
      <c r="Z21" s="41">
        <f>Y21+Model_1!Z73</f>
        <v>240</v>
      </c>
      <c r="AA21" s="41">
        <f>Z21+Model_1!AA73</f>
        <v>240</v>
      </c>
      <c r="AB21" s="41">
        <f>AA21+Model_1!AB73</f>
        <v>240</v>
      </c>
      <c r="AC21" s="41">
        <f>AB21+Model_1!AC73</f>
        <v>240</v>
      </c>
      <c r="AD21" s="41">
        <f>AC21+Model_1!AD73</f>
        <v>240</v>
      </c>
      <c r="AE21" s="41">
        <f>AD21+Model_1!AE73</f>
        <v>240</v>
      </c>
      <c r="AF21" s="41">
        <f>AE21+Model_1!AF73</f>
        <v>240</v>
      </c>
      <c r="AG21" s="41">
        <f>AF21+Model_1!AG73</f>
        <v>240</v>
      </c>
      <c r="AH21" s="41">
        <f>AG21+Model_1!AH73</f>
        <v>240</v>
      </c>
      <c r="AI21" s="41">
        <f>AH21+Model_1!AI73</f>
        <v>240</v>
      </c>
      <c r="AJ21" s="41">
        <f>AI21+Model_1!AJ73</f>
        <v>240</v>
      </c>
      <c r="AK21" s="41">
        <f>AJ21+Model_1!AK73</f>
        <v>240</v>
      </c>
      <c r="AL21" s="41">
        <f>AK21+Model_1!AL73</f>
        <v>240</v>
      </c>
      <c r="AM21" s="41">
        <f>AL21+Model_1!AM73</f>
        <v>240</v>
      </c>
      <c r="AN21" s="41">
        <f>AM21+Model_1!AN73</f>
        <v>240</v>
      </c>
      <c r="AO21" s="41">
        <f>AN21+Model_1!AO73</f>
        <v>240</v>
      </c>
      <c r="AP21" s="41">
        <f>AO21+Model_1!AP73</f>
        <v>240</v>
      </c>
      <c r="AQ21" s="41">
        <f>AP21+Model_1!AQ73</f>
        <v>240</v>
      </c>
      <c r="AR21" s="41">
        <f>AQ21+Model_1!AR73</f>
        <v>240</v>
      </c>
      <c r="AS21" s="41">
        <f>AR21+Model_1!AS73</f>
        <v>240</v>
      </c>
      <c r="AT21" s="41">
        <f>AS21+Model_1!AT73</f>
        <v>240</v>
      </c>
      <c r="AU21" s="41">
        <f>AT21+Model_1!AU73</f>
        <v>240</v>
      </c>
      <c r="AV21" s="41">
        <f>AU21+Model_1!AV73</f>
        <v>240</v>
      </c>
      <c r="AW21" s="41">
        <f>AV21+Model_1!AW73</f>
        <v>240</v>
      </c>
      <c r="AX21" s="41">
        <f>AW21+Model_1!AX73</f>
        <v>240</v>
      </c>
      <c r="AY21" s="41">
        <f>AX21+Model_1!AY73</f>
        <v>240</v>
      </c>
      <c r="AZ21" s="41"/>
      <c r="BA21" s="41"/>
      <c r="BB21" s="41"/>
    </row>
    <row r="22" spans="1:54" x14ac:dyDescent="0.45">
      <c r="A22" s="41" t="str">
        <f>Model_1!A74</f>
        <v>User specified cost item 1 ($/tree in Year 1 only)</v>
      </c>
      <c r="B22" s="41">
        <f>Model_1!B74</f>
        <v>0</v>
      </c>
      <c r="C22" s="41">
        <f>B22+Model_1!C74</f>
        <v>0</v>
      </c>
      <c r="D22" s="41">
        <f>C22+Model_1!D74</f>
        <v>0</v>
      </c>
      <c r="E22" s="41">
        <f>D22+Model_1!E74</f>
        <v>0</v>
      </c>
      <c r="F22" s="41">
        <f>E22+Model_1!F74</f>
        <v>0</v>
      </c>
      <c r="G22" s="41">
        <f>F22+Model_1!G74</f>
        <v>0</v>
      </c>
      <c r="H22" s="41">
        <f>G22+Model_1!H74</f>
        <v>0</v>
      </c>
      <c r="I22" s="41">
        <f>H22+Model_1!I74</f>
        <v>0</v>
      </c>
      <c r="J22" s="41">
        <f>I22+Model_1!J74</f>
        <v>0</v>
      </c>
      <c r="K22" s="41">
        <f>J22+Model_1!K74</f>
        <v>0</v>
      </c>
      <c r="L22" s="41">
        <f>K22+Model_1!L74</f>
        <v>0</v>
      </c>
      <c r="M22" s="41">
        <f>L22+Model_1!M74</f>
        <v>0</v>
      </c>
      <c r="N22" s="41">
        <f>M22+Model_1!N74</f>
        <v>0</v>
      </c>
      <c r="O22" s="41">
        <f>N22+Model_1!O74</f>
        <v>0</v>
      </c>
      <c r="P22" s="41">
        <f>O22+Model_1!P74</f>
        <v>0</v>
      </c>
      <c r="Q22" s="41">
        <f>P22+Model_1!Q74</f>
        <v>0</v>
      </c>
      <c r="R22" s="41">
        <f>Q22+Model_1!R74</f>
        <v>0</v>
      </c>
      <c r="S22" s="41">
        <f>R22+Model_1!S74</f>
        <v>0</v>
      </c>
      <c r="T22" s="41">
        <f>S22+Model_1!T74</f>
        <v>0</v>
      </c>
      <c r="U22" s="41">
        <f>T22+Model_1!U74</f>
        <v>0</v>
      </c>
      <c r="V22" s="41">
        <f>U22+Model_1!V74</f>
        <v>0</v>
      </c>
      <c r="W22" s="41">
        <f>V22+Model_1!W74</f>
        <v>0</v>
      </c>
      <c r="X22" s="41">
        <f>W22+Model_1!X74</f>
        <v>0</v>
      </c>
      <c r="Y22" s="41">
        <f>X22+Model_1!Y74</f>
        <v>0</v>
      </c>
      <c r="Z22" s="41">
        <f>Y22+Model_1!Z74</f>
        <v>0</v>
      </c>
      <c r="AA22" s="41">
        <f>Z22+Model_1!AA74</f>
        <v>0</v>
      </c>
      <c r="AB22" s="41">
        <f>AA22+Model_1!AB74</f>
        <v>0</v>
      </c>
      <c r="AC22" s="41">
        <f>AB22+Model_1!AC74</f>
        <v>0</v>
      </c>
      <c r="AD22" s="41">
        <f>AC22+Model_1!AD74</f>
        <v>0</v>
      </c>
      <c r="AE22" s="41">
        <f>AD22+Model_1!AE74</f>
        <v>0</v>
      </c>
      <c r="AF22" s="41">
        <f>AE22+Model_1!AF74</f>
        <v>0</v>
      </c>
      <c r="AG22" s="41">
        <f>AF22+Model_1!AG74</f>
        <v>0</v>
      </c>
      <c r="AH22" s="41">
        <f>AG22+Model_1!AH74</f>
        <v>0</v>
      </c>
      <c r="AI22" s="41">
        <f>AH22+Model_1!AI74</f>
        <v>0</v>
      </c>
      <c r="AJ22" s="41">
        <f>AI22+Model_1!AJ74</f>
        <v>0</v>
      </c>
      <c r="AK22" s="41">
        <f>AJ22+Model_1!AK74</f>
        <v>0</v>
      </c>
      <c r="AL22" s="41">
        <f>AK22+Model_1!AL74</f>
        <v>0</v>
      </c>
      <c r="AM22" s="41">
        <f>AL22+Model_1!AM74</f>
        <v>0</v>
      </c>
      <c r="AN22" s="41">
        <f>AM22+Model_1!AN74</f>
        <v>0</v>
      </c>
      <c r="AO22" s="41">
        <f>AN22+Model_1!AO74</f>
        <v>0</v>
      </c>
      <c r="AP22" s="41">
        <f>AO22+Model_1!AP74</f>
        <v>0</v>
      </c>
      <c r="AQ22" s="41">
        <f>AP22+Model_1!AQ74</f>
        <v>0</v>
      </c>
      <c r="AR22" s="41">
        <f>AQ22+Model_1!AR74</f>
        <v>0</v>
      </c>
      <c r="AS22" s="41">
        <f>AR22+Model_1!AS74</f>
        <v>0</v>
      </c>
      <c r="AT22" s="41">
        <f>AS22+Model_1!AT74</f>
        <v>0</v>
      </c>
      <c r="AU22" s="41">
        <f>AT22+Model_1!AU74</f>
        <v>0</v>
      </c>
      <c r="AV22" s="41">
        <f>AU22+Model_1!AV74</f>
        <v>0</v>
      </c>
      <c r="AW22" s="41">
        <f>AV22+Model_1!AW74</f>
        <v>0</v>
      </c>
      <c r="AX22" s="41">
        <f>AW22+Model_1!AX74</f>
        <v>0</v>
      </c>
      <c r="AY22" s="41">
        <f>AX22+Model_1!AY74</f>
        <v>0</v>
      </c>
      <c r="AZ22" s="41"/>
      <c r="BA22" s="41"/>
      <c r="BB22" s="41"/>
    </row>
    <row r="23" spans="1:54" x14ac:dyDescent="0.45">
      <c r="A23" s="41" t="str">
        <f>Model_1!A75</f>
        <v>User specified cost item 2 ($/tree per annum up to year 2)</v>
      </c>
      <c r="B23" s="41">
        <f>Model_1!B75</f>
        <v>0</v>
      </c>
      <c r="C23" s="41">
        <f>B23+Model_1!C75</f>
        <v>0</v>
      </c>
      <c r="D23" s="41">
        <f>C23+Model_1!D75</f>
        <v>0</v>
      </c>
      <c r="E23" s="41">
        <f>D23+Model_1!E75</f>
        <v>0</v>
      </c>
      <c r="F23" s="41">
        <f>E23+Model_1!F75</f>
        <v>0</v>
      </c>
      <c r="G23" s="41">
        <f>F23+Model_1!G75</f>
        <v>0</v>
      </c>
      <c r="H23" s="41">
        <f>G23+Model_1!H75</f>
        <v>0</v>
      </c>
      <c r="I23" s="41">
        <f>H23+Model_1!I75</f>
        <v>0</v>
      </c>
      <c r="J23" s="41">
        <f>I23+Model_1!J75</f>
        <v>0</v>
      </c>
      <c r="K23" s="41">
        <f>J23+Model_1!K75</f>
        <v>0</v>
      </c>
      <c r="L23" s="41">
        <f>K23+Model_1!L75</f>
        <v>0</v>
      </c>
      <c r="M23" s="41">
        <f>L23+Model_1!M75</f>
        <v>0</v>
      </c>
      <c r="N23" s="41">
        <f>M23+Model_1!N75</f>
        <v>0</v>
      </c>
      <c r="O23" s="41">
        <f>N23+Model_1!O75</f>
        <v>0</v>
      </c>
      <c r="P23" s="41">
        <f>O23+Model_1!P75</f>
        <v>0</v>
      </c>
      <c r="Q23" s="41">
        <f>P23+Model_1!Q75</f>
        <v>0</v>
      </c>
      <c r="R23" s="41">
        <f>Q23+Model_1!R75</f>
        <v>0</v>
      </c>
      <c r="S23" s="41">
        <f>R23+Model_1!S75</f>
        <v>0</v>
      </c>
      <c r="T23" s="41">
        <f>S23+Model_1!T75</f>
        <v>0</v>
      </c>
      <c r="U23" s="41">
        <f>T23+Model_1!U75</f>
        <v>0</v>
      </c>
      <c r="V23" s="41">
        <f>U23+Model_1!V75</f>
        <v>0</v>
      </c>
      <c r="W23" s="41">
        <f>V23+Model_1!W75</f>
        <v>0</v>
      </c>
      <c r="X23" s="41">
        <f>W23+Model_1!X75</f>
        <v>0</v>
      </c>
      <c r="Y23" s="41">
        <f>X23+Model_1!Y75</f>
        <v>0</v>
      </c>
      <c r="Z23" s="41">
        <f>Y23+Model_1!Z75</f>
        <v>0</v>
      </c>
      <c r="AA23" s="41">
        <f>Z23+Model_1!AA75</f>
        <v>0</v>
      </c>
      <c r="AB23" s="41">
        <f>AA23+Model_1!AB75</f>
        <v>0</v>
      </c>
      <c r="AC23" s="41">
        <f>AB23+Model_1!AC75</f>
        <v>0</v>
      </c>
      <c r="AD23" s="41">
        <f>AC23+Model_1!AD75</f>
        <v>0</v>
      </c>
      <c r="AE23" s="41">
        <f>AD23+Model_1!AE75</f>
        <v>0</v>
      </c>
      <c r="AF23" s="41">
        <f>AE23+Model_1!AF75</f>
        <v>0</v>
      </c>
      <c r="AG23" s="41">
        <f>AF23+Model_1!AG75</f>
        <v>0</v>
      </c>
      <c r="AH23" s="41">
        <f>AG23+Model_1!AH75</f>
        <v>0</v>
      </c>
      <c r="AI23" s="41">
        <f>AH23+Model_1!AI75</f>
        <v>0</v>
      </c>
      <c r="AJ23" s="41">
        <f>AI23+Model_1!AJ75</f>
        <v>0</v>
      </c>
      <c r="AK23" s="41">
        <f>AJ23+Model_1!AK75</f>
        <v>0</v>
      </c>
      <c r="AL23" s="41">
        <f>AK23+Model_1!AL75</f>
        <v>0</v>
      </c>
      <c r="AM23" s="41">
        <f>AL23+Model_1!AM75</f>
        <v>0</v>
      </c>
      <c r="AN23" s="41">
        <f>AM23+Model_1!AN75</f>
        <v>0</v>
      </c>
      <c r="AO23" s="41">
        <f>AN23+Model_1!AO75</f>
        <v>0</v>
      </c>
      <c r="AP23" s="41">
        <f>AO23+Model_1!AP75</f>
        <v>0</v>
      </c>
      <c r="AQ23" s="41">
        <f>AP23+Model_1!AQ75</f>
        <v>0</v>
      </c>
      <c r="AR23" s="41">
        <f>AQ23+Model_1!AR75</f>
        <v>0</v>
      </c>
      <c r="AS23" s="41">
        <f>AR23+Model_1!AS75</f>
        <v>0</v>
      </c>
      <c r="AT23" s="41">
        <f>AS23+Model_1!AT75</f>
        <v>0</v>
      </c>
      <c r="AU23" s="41">
        <f>AT23+Model_1!AU75</f>
        <v>0</v>
      </c>
      <c r="AV23" s="41">
        <f>AU23+Model_1!AV75</f>
        <v>0</v>
      </c>
      <c r="AW23" s="41">
        <f>AV23+Model_1!AW75</f>
        <v>0</v>
      </c>
      <c r="AX23" s="41">
        <f>AW23+Model_1!AX75</f>
        <v>0</v>
      </c>
      <c r="AY23" s="41">
        <f>AX23+Model_1!AY75</f>
        <v>0</v>
      </c>
      <c r="AZ23" s="41"/>
      <c r="BA23" s="41"/>
      <c r="BB23" s="41"/>
    </row>
    <row r="24" spans="1:54" x14ac:dyDescent="0.45">
      <c r="A24" s="41" t="str">
        <f>Model_1!A76</f>
        <v>User specified cost item 3 ($/tree per annum)</v>
      </c>
      <c r="B24" s="41">
        <f>Model_1!B76</f>
        <v>0</v>
      </c>
      <c r="C24" s="41">
        <f>B24+Model_1!C76</f>
        <v>0</v>
      </c>
      <c r="D24" s="41">
        <f>C24+Model_1!D76</f>
        <v>0</v>
      </c>
      <c r="E24" s="41">
        <f>D24+Model_1!E76</f>
        <v>0</v>
      </c>
      <c r="F24" s="41">
        <f>E24+Model_1!F76</f>
        <v>0</v>
      </c>
      <c r="G24" s="41">
        <f>F24+Model_1!G76</f>
        <v>0</v>
      </c>
      <c r="H24" s="41">
        <f>G24+Model_1!H76</f>
        <v>0</v>
      </c>
      <c r="I24" s="41">
        <f>H24+Model_1!I76</f>
        <v>0</v>
      </c>
      <c r="J24" s="41">
        <f>I24+Model_1!J76</f>
        <v>0</v>
      </c>
      <c r="K24" s="41">
        <f>J24+Model_1!K76</f>
        <v>0</v>
      </c>
      <c r="L24" s="41">
        <f>K24+Model_1!L76</f>
        <v>0</v>
      </c>
      <c r="M24" s="41">
        <f>L24+Model_1!M76</f>
        <v>0</v>
      </c>
      <c r="N24" s="41">
        <f>M24+Model_1!N76</f>
        <v>0</v>
      </c>
      <c r="O24" s="41">
        <f>N24+Model_1!O76</f>
        <v>0</v>
      </c>
      <c r="P24" s="41">
        <f>O24+Model_1!P76</f>
        <v>0</v>
      </c>
      <c r="Q24" s="41">
        <f>P24+Model_1!Q76</f>
        <v>0</v>
      </c>
      <c r="R24" s="41">
        <f>Q24+Model_1!R76</f>
        <v>0</v>
      </c>
      <c r="S24" s="41">
        <f>R24+Model_1!S76</f>
        <v>0</v>
      </c>
      <c r="T24" s="41">
        <f>S24+Model_1!T76</f>
        <v>0</v>
      </c>
      <c r="U24" s="41">
        <f>T24+Model_1!U76</f>
        <v>0</v>
      </c>
      <c r="V24" s="41">
        <f>U24+Model_1!V76</f>
        <v>0</v>
      </c>
      <c r="W24" s="41">
        <f>V24+Model_1!W76</f>
        <v>0</v>
      </c>
      <c r="X24" s="41">
        <f>W24+Model_1!X76</f>
        <v>0</v>
      </c>
      <c r="Y24" s="41">
        <f>X24+Model_1!Y76</f>
        <v>0</v>
      </c>
      <c r="Z24" s="41">
        <f>Y24+Model_1!Z76</f>
        <v>0</v>
      </c>
      <c r="AA24" s="41">
        <f>Z24+Model_1!AA76</f>
        <v>0</v>
      </c>
      <c r="AB24" s="41">
        <f>AA24+Model_1!AB76</f>
        <v>0</v>
      </c>
      <c r="AC24" s="41">
        <f>AB24+Model_1!AC76</f>
        <v>0</v>
      </c>
      <c r="AD24" s="41">
        <f>AC24+Model_1!AD76</f>
        <v>0</v>
      </c>
      <c r="AE24" s="41">
        <f>AD24+Model_1!AE76</f>
        <v>0</v>
      </c>
      <c r="AF24" s="41">
        <f>AE24+Model_1!AF76</f>
        <v>0</v>
      </c>
      <c r="AG24" s="41">
        <f>AF24+Model_1!AG76</f>
        <v>0</v>
      </c>
      <c r="AH24" s="41">
        <f>AG24+Model_1!AH76</f>
        <v>0</v>
      </c>
      <c r="AI24" s="41">
        <f>AH24+Model_1!AI76</f>
        <v>0</v>
      </c>
      <c r="AJ24" s="41">
        <f>AI24+Model_1!AJ76</f>
        <v>0</v>
      </c>
      <c r="AK24" s="41">
        <f>AJ24+Model_1!AK76</f>
        <v>0</v>
      </c>
      <c r="AL24" s="41">
        <f>AK24+Model_1!AL76</f>
        <v>0</v>
      </c>
      <c r="AM24" s="41">
        <f>AL24+Model_1!AM76</f>
        <v>0</v>
      </c>
      <c r="AN24" s="41">
        <f>AM24+Model_1!AN76</f>
        <v>0</v>
      </c>
      <c r="AO24" s="41">
        <f>AN24+Model_1!AO76</f>
        <v>0</v>
      </c>
      <c r="AP24" s="41">
        <f>AO24+Model_1!AP76</f>
        <v>0</v>
      </c>
      <c r="AQ24" s="41">
        <f>AP24+Model_1!AQ76</f>
        <v>0</v>
      </c>
      <c r="AR24" s="41">
        <f>AQ24+Model_1!AR76</f>
        <v>0</v>
      </c>
      <c r="AS24" s="41">
        <f>AR24+Model_1!AS76</f>
        <v>0</v>
      </c>
      <c r="AT24" s="41">
        <f>AS24+Model_1!AT76</f>
        <v>0</v>
      </c>
      <c r="AU24" s="41">
        <f>AT24+Model_1!AU76</f>
        <v>0</v>
      </c>
      <c r="AV24" s="41">
        <f>AU24+Model_1!AV76</f>
        <v>0</v>
      </c>
      <c r="AW24" s="41">
        <f>AV24+Model_1!AW76</f>
        <v>0</v>
      </c>
      <c r="AX24" s="41">
        <f>AW24+Model_1!AX76</f>
        <v>0</v>
      </c>
      <c r="AY24" s="41">
        <f>AX24+Model_1!AY76</f>
        <v>0</v>
      </c>
      <c r="AZ24" s="41"/>
      <c r="BA24" s="41"/>
      <c r="BB24" s="41"/>
    </row>
    <row r="25" spans="1:54" x14ac:dyDescent="0.45">
      <c r="A25" s="41" t="str">
        <f>Model_1!A77</f>
        <v>User specified cost item 4 ($/tree per annum)</v>
      </c>
      <c r="B25" s="41">
        <f>Model_1!B77</f>
        <v>0</v>
      </c>
      <c r="C25" s="41">
        <f>B25+Model_1!C77</f>
        <v>0</v>
      </c>
      <c r="D25" s="41">
        <f>C25+Model_1!D77</f>
        <v>0</v>
      </c>
      <c r="E25" s="41">
        <f>D25+Model_1!E77</f>
        <v>0</v>
      </c>
      <c r="F25" s="41">
        <f>E25+Model_1!F77</f>
        <v>0</v>
      </c>
      <c r="G25" s="41">
        <f>F25+Model_1!G77</f>
        <v>0</v>
      </c>
      <c r="H25" s="41">
        <f>G25+Model_1!H77</f>
        <v>0</v>
      </c>
      <c r="I25" s="41">
        <f>H25+Model_1!I77</f>
        <v>0</v>
      </c>
      <c r="J25" s="41">
        <f>I25+Model_1!J77</f>
        <v>0</v>
      </c>
      <c r="K25" s="41">
        <f>J25+Model_1!K77</f>
        <v>0</v>
      </c>
      <c r="L25" s="41">
        <f>K25+Model_1!L77</f>
        <v>0</v>
      </c>
      <c r="M25" s="41">
        <f>L25+Model_1!M77</f>
        <v>0</v>
      </c>
      <c r="N25" s="41">
        <f>M25+Model_1!N77</f>
        <v>0</v>
      </c>
      <c r="O25" s="41">
        <f>N25+Model_1!O77</f>
        <v>0</v>
      </c>
      <c r="P25" s="41">
        <f>O25+Model_1!P77</f>
        <v>0</v>
      </c>
      <c r="Q25" s="41">
        <f>P25+Model_1!Q77</f>
        <v>0</v>
      </c>
      <c r="R25" s="41">
        <f>Q25+Model_1!R77</f>
        <v>0</v>
      </c>
      <c r="S25" s="41">
        <f>R25+Model_1!S77</f>
        <v>0</v>
      </c>
      <c r="T25" s="41">
        <f>S25+Model_1!T77</f>
        <v>0</v>
      </c>
      <c r="U25" s="41">
        <f>T25+Model_1!U77</f>
        <v>0</v>
      </c>
      <c r="V25" s="41">
        <f>U25+Model_1!V77</f>
        <v>0</v>
      </c>
      <c r="W25" s="41">
        <f>V25+Model_1!W77</f>
        <v>0</v>
      </c>
      <c r="X25" s="41">
        <f>W25+Model_1!X77</f>
        <v>0</v>
      </c>
      <c r="Y25" s="41">
        <f>X25+Model_1!Y77</f>
        <v>0</v>
      </c>
      <c r="Z25" s="41">
        <f>Y25+Model_1!Z77</f>
        <v>0</v>
      </c>
      <c r="AA25" s="41">
        <f>Z25+Model_1!AA77</f>
        <v>0</v>
      </c>
      <c r="AB25" s="41">
        <f>AA25+Model_1!AB77</f>
        <v>0</v>
      </c>
      <c r="AC25" s="41">
        <f>AB25+Model_1!AC77</f>
        <v>0</v>
      </c>
      <c r="AD25" s="41">
        <f>AC25+Model_1!AD77</f>
        <v>0</v>
      </c>
      <c r="AE25" s="41">
        <f>AD25+Model_1!AE77</f>
        <v>0</v>
      </c>
      <c r="AF25" s="41">
        <f>AE25+Model_1!AF77</f>
        <v>0</v>
      </c>
      <c r="AG25" s="41">
        <f>AF25+Model_1!AG77</f>
        <v>0</v>
      </c>
      <c r="AH25" s="41">
        <f>AG25+Model_1!AH77</f>
        <v>0</v>
      </c>
      <c r="AI25" s="41">
        <f>AH25+Model_1!AI77</f>
        <v>0</v>
      </c>
      <c r="AJ25" s="41">
        <f>AI25+Model_1!AJ77</f>
        <v>0</v>
      </c>
      <c r="AK25" s="41">
        <f>AJ25+Model_1!AK77</f>
        <v>0</v>
      </c>
      <c r="AL25" s="41">
        <f>AK25+Model_1!AL77</f>
        <v>0</v>
      </c>
      <c r="AM25" s="41">
        <f>AL25+Model_1!AM77</f>
        <v>0</v>
      </c>
      <c r="AN25" s="41">
        <f>AM25+Model_1!AN77</f>
        <v>0</v>
      </c>
      <c r="AO25" s="41">
        <f>AN25+Model_1!AO77</f>
        <v>0</v>
      </c>
      <c r="AP25" s="41">
        <f>AO25+Model_1!AP77</f>
        <v>0</v>
      </c>
      <c r="AQ25" s="41">
        <f>AP25+Model_1!AQ77</f>
        <v>0</v>
      </c>
      <c r="AR25" s="41">
        <f>AQ25+Model_1!AR77</f>
        <v>0</v>
      </c>
      <c r="AS25" s="41">
        <f>AR25+Model_1!AS77</f>
        <v>0</v>
      </c>
      <c r="AT25" s="41">
        <f>AS25+Model_1!AT77</f>
        <v>0</v>
      </c>
      <c r="AU25" s="41">
        <f>AT25+Model_1!AU77</f>
        <v>0</v>
      </c>
      <c r="AV25" s="41">
        <f>AU25+Model_1!AV77</f>
        <v>0</v>
      </c>
      <c r="AW25" s="41">
        <f>AV25+Model_1!AW77</f>
        <v>0</v>
      </c>
      <c r="AX25" s="41">
        <f>AW25+Model_1!AX77</f>
        <v>0</v>
      </c>
      <c r="AY25" s="41">
        <f>AX25+Model_1!AY77</f>
        <v>0</v>
      </c>
      <c r="AZ25" s="41"/>
      <c r="BA25" s="41"/>
      <c r="BB25" s="41"/>
    </row>
    <row r="26" spans="1:54" x14ac:dyDescent="0.45">
      <c r="A26" s="41" t="str">
        <f>Model_1!A78</f>
        <v>User specified cost item 5 ($/tree per annum)</v>
      </c>
      <c r="B26" s="41">
        <f>Model_1!B78</f>
        <v>0</v>
      </c>
      <c r="C26" s="41">
        <f>B26+Model_1!C78</f>
        <v>0</v>
      </c>
      <c r="D26" s="41">
        <f>C26+Model_1!D78</f>
        <v>0</v>
      </c>
      <c r="E26" s="41">
        <f>D26+Model_1!E78</f>
        <v>0</v>
      </c>
      <c r="F26" s="41">
        <f>E26+Model_1!F78</f>
        <v>0</v>
      </c>
      <c r="G26" s="41">
        <f>F26+Model_1!G78</f>
        <v>0</v>
      </c>
      <c r="H26" s="41">
        <f>G26+Model_1!H78</f>
        <v>0</v>
      </c>
      <c r="I26" s="41">
        <f>H26+Model_1!I78</f>
        <v>0</v>
      </c>
      <c r="J26" s="41">
        <f>I26+Model_1!J78</f>
        <v>0</v>
      </c>
      <c r="K26" s="41">
        <f>J26+Model_1!K78</f>
        <v>0</v>
      </c>
      <c r="L26" s="41">
        <f>K26+Model_1!L78</f>
        <v>0</v>
      </c>
      <c r="M26" s="41">
        <f>L26+Model_1!M78</f>
        <v>0</v>
      </c>
      <c r="N26" s="41">
        <f>M26+Model_1!N78</f>
        <v>0</v>
      </c>
      <c r="O26" s="41">
        <f>N26+Model_1!O78</f>
        <v>0</v>
      </c>
      <c r="P26" s="41">
        <f>O26+Model_1!P78</f>
        <v>0</v>
      </c>
      <c r="Q26" s="41">
        <f>P26+Model_1!Q78</f>
        <v>0</v>
      </c>
      <c r="R26" s="41">
        <f>Q26+Model_1!R78</f>
        <v>0</v>
      </c>
      <c r="S26" s="41">
        <f>R26+Model_1!S78</f>
        <v>0</v>
      </c>
      <c r="T26" s="41">
        <f>S26+Model_1!T78</f>
        <v>0</v>
      </c>
      <c r="U26" s="41">
        <f>T26+Model_1!U78</f>
        <v>0</v>
      </c>
      <c r="V26" s="41">
        <f>U26+Model_1!V78</f>
        <v>0</v>
      </c>
      <c r="W26" s="41">
        <f>V26+Model_1!W78</f>
        <v>0</v>
      </c>
      <c r="X26" s="41">
        <f>W26+Model_1!X78</f>
        <v>0</v>
      </c>
      <c r="Y26" s="41">
        <f>X26+Model_1!Y78</f>
        <v>0</v>
      </c>
      <c r="Z26" s="41">
        <f>Y26+Model_1!Z78</f>
        <v>0</v>
      </c>
      <c r="AA26" s="41">
        <f>Z26+Model_1!AA78</f>
        <v>0</v>
      </c>
      <c r="AB26" s="41">
        <f>AA26+Model_1!AB78</f>
        <v>0</v>
      </c>
      <c r="AC26" s="41">
        <f>AB26+Model_1!AC78</f>
        <v>0</v>
      </c>
      <c r="AD26" s="41">
        <f>AC26+Model_1!AD78</f>
        <v>0</v>
      </c>
      <c r="AE26" s="41">
        <f>AD26+Model_1!AE78</f>
        <v>0</v>
      </c>
      <c r="AF26" s="41">
        <f>AE26+Model_1!AF78</f>
        <v>0</v>
      </c>
      <c r="AG26" s="41">
        <f>AF26+Model_1!AG78</f>
        <v>0</v>
      </c>
      <c r="AH26" s="41">
        <f>AG26+Model_1!AH78</f>
        <v>0</v>
      </c>
      <c r="AI26" s="41">
        <f>AH26+Model_1!AI78</f>
        <v>0</v>
      </c>
      <c r="AJ26" s="41">
        <f>AI26+Model_1!AJ78</f>
        <v>0</v>
      </c>
      <c r="AK26" s="41">
        <f>AJ26+Model_1!AK78</f>
        <v>0</v>
      </c>
      <c r="AL26" s="41">
        <f>AK26+Model_1!AL78</f>
        <v>0</v>
      </c>
      <c r="AM26" s="41">
        <f>AL26+Model_1!AM78</f>
        <v>0</v>
      </c>
      <c r="AN26" s="41">
        <f>AM26+Model_1!AN78</f>
        <v>0</v>
      </c>
      <c r="AO26" s="41">
        <f>AN26+Model_1!AO78</f>
        <v>0</v>
      </c>
      <c r="AP26" s="41">
        <f>AO26+Model_1!AP78</f>
        <v>0</v>
      </c>
      <c r="AQ26" s="41">
        <f>AP26+Model_1!AQ78</f>
        <v>0</v>
      </c>
      <c r="AR26" s="41">
        <f>AQ26+Model_1!AR78</f>
        <v>0</v>
      </c>
      <c r="AS26" s="41">
        <f>AR26+Model_1!AS78</f>
        <v>0</v>
      </c>
      <c r="AT26" s="41">
        <f>AS26+Model_1!AT78</f>
        <v>0</v>
      </c>
      <c r="AU26" s="41">
        <f>AT26+Model_1!AU78</f>
        <v>0</v>
      </c>
      <c r="AV26" s="41">
        <f>AU26+Model_1!AV78</f>
        <v>0</v>
      </c>
      <c r="AW26" s="41">
        <f>AV26+Model_1!AW78</f>
        <v>0</v>
      </c>
      <c r="AX26" s="41">
        <f>AW26+Model_1!AX78</f>
        <v>0</v>
      </c>
      <c r="AY26" s="41">
        <f>AX26+Model_1!AY78</f>
        <v>0</v>
      </c>
      <c r="AZ26" s="41"/>
      <c r="BA26" s="41"/>
      <c r="BB26" s="41"/>
    </row>
    <row r="27" spans="1:54" x14ac:dyDescent="0.45">
      <c r="A27" s="281" t="s">
        <v>298</v>
      </c>
      <c r="B27" s="282">
        <f>SUM(B5:B26)</f>
        <v>67492.423190447997</v>
      </c>
      <c r="C27" s="282">
        <f t="shared" ref="C27:AY27" si="0">SUM(C5:C26)</f>
        <v>76348.423190447997</v>
      </c>
      <c r="D27" s="282">
        <f t="shared" si="0"/>
        <v>83786.848190448</v>
      </c>
      <c r="E27" s="282">
        <f t="shared" si="0"/>
        <v>91411.233815447995</v>
      </c>
      <c r="F27" s="282">
        <f t="shared" si="0"/>
        <v>99226.229081073005</v>
      </c>
      <c r="G27" s="282">
        <f t="shared" si="0"/>
        <v>107236.59922833863</v>
      </c>
      <c r="H27" s="282">
        <f t="shared" si="0"/>
        <v>115447.22862928589</v>
      </c>
      <c r="I27" s="282">
        <f t="shared" si="0"/>
        <v>123863.12376525682</v>
      </c>
      <c r="J27" s="282">
        <f t="shared" si="0"/>
        <v>132489.41627962704</v>
      </c>
      <c r="K27" s="282">
        <f t="shared" si="0"/>
        <v>141331.36610685653</v>
      </c>
      <c r="L27" s="282">
        <f t="shared" si="0"/>
        <v>150394.3646797667</v>
      </c>
      <c r="M27" s="282">
        <f t="shared" si="0"/>
        <v>159683.9382169997</v>
      </c>
      <c r="N27" s="282">
        <f t="shared" si="0"/>
        <v>169205.75109266347</v>
      </c>
      <c r="O27" s="282">
        <f t="shared" si="0"/>
        <v>178965.60929021882</v>
      </c>
      <c r="P27" s="282">
        <f t="shared" si="0"/>
        <v>188969.4639427131</v>
      </c>
      <c r="Q27" s="282">
        <f t="shared" si="0"/>
        <v>199223.41496151974</v>
      </c>
      <c r="R27" s="282">
        <f t="shared" si="0"/>
        <v>209733.71475579654</v>
      </c>
      <c r="S27" s="282">
        <f t="shared" si="0"/>
        <v>220506.77204493023</v>
      </c>
      <c r="T27" s="282">
        <f t="shared" si="0"/>
        <v>231549.15576629227</v>
      </c>
      <c r="U27" s="282">
        <f t="shared" si="0"/>
        <v>242867.59908068841</v>
      </c>
      <c r="V27" s="282">
        <f t="shared" si="0"/>
        <v>254469.00347794438</v>
      </c>
      <c r="W27" s="282">
        <f t="shared" si="0"/>
        <v>266360.44298513175</v>
      </c>
      <c r="X27" s="282">
        <f t="shared" si="0"/>
        <v>278549.16847999883</v>
      </c>
      <c r="Y27" s="282">
        <f t="shared" si="0"/>
        <v>291042.61211223761</v>
      </c>
      <c r="Z27" s="282">
        <f t="shared" si="0"/>
        <v>303848.39183528232</v>
      </c>
      <c r="AA27" s="282">
        <f t="shared" si="0"/>
        <v>316974.31605140318</v>
      </c>
      <c r="AB27" s="282">
        <f t="shared" si="0"/>
        <v>330428.38837292703</v>
      </c>
      <c r="AC27" s="282">
        <f t="shared" si="0"/>
        <v>344218.81250248896</v>
      </c>
      <c r="AD27" s="282">
        <f t="shared" si="0"/>
        <v>358353.99723528995</v>
      </c>
      <c r="AE27" s="282">
        <f t="shared" si="0"/>
        <v>372842.56158641109</v>
      </c>
      <c r="AF27" s="282">
        <f t="shared" si="0"/>
        <v>387693.34004631004</v>
      </c>
      <c r="AG27" s="282">
        <f t="shared" si="0"/>
        <v>402915.38796770666</v>
      </c>
      <c r="AH27" s="282">
        <f t="shared" si="0"/>
        <v>418517.98708713806</v>
      </c>
      <c r="AI27" s="282">
        <f t="shared" si="0"/>
        <v>434510.65118455526</v>
      </c>
      <c r="AJ27" s="282">
        <f t="shared" si="0"/>
        <v>450903.13188440795</v>
      </c>
      <c r="AK27" s="282">
        <f t="shared" si="0"/>
        <v>467705.42460175697</v>
      </c>
      <c r="AL27" s="282">
        <f t="shared" si="0"/>
        <v>484927.77463703969</v>
      </c>
      <c r="AM27" s="282">
        <f t="shared" si="0"/>
        <v>502580.68342320446</v>
      </c>
      <c r="AN27" s="282">
        <f t="shared" si="0"/>
        <v>520674.91492902336</v>
      </c>
      <c r="AO27" s="282">
        <f t="shared" si="0"/>
        <v>539221.5022224877</v>
      </c>
      <c r="AP27" s="282">
        <f t="shared" si="0"/>
        <v>558231.75419828866</v>
      </c>
      <c r="AQ27" s="282">
        <f t="shared" si="0"/>
        <v>577717.26247348473</v>
      </c>
      <c r="AR27" s="282">
        <f t="shared" si="0"/>
        <v>597689.90845556057</v>
      </c>
      <c r="AS27" s="282">
        <f t="shared" si="0"/>
        <v>618161.8705871884</v>
      </c>
      <c r="AT27" s="282">
        <f t="shared" si="0"/>
        <v>639145.63177210675</v>
      </c>
      <c r="AU27" s="282">
        <f t="shared" si="0"/>
        <v>660653.98698664817</v>
      </c>
      <c r="AV27" s="282">
        <f t="shared" si="0"/>
        <v>682700.0510815531</v>
      </c>
      <c r="AW27" s="282">
        <f t="shared" si="0"/>
        <v>705297.2667788309</v>
      </c>
      <c r="AX27" s="282">
        <f t="shared" si="0"/>
        <v>728459.41286854027</v>
      </c>
      <c r="AY27" s="282">
        <f t="shared" si="0"/>
        <v>752200.61261049262</v>
      </c>
    </row>
    <row r="28" spans="1:54" x14ac:dyDescent="0.45"/>
    <row r="29" spans="1:54" x14ac:dyDescent="0.45"/>
    <row r="30" spans="1:54" x14ac:dyDescent="0.45"/>
    <row r="31" spans="1:54" x14ac:dyDescent="0.45"/>
    <row r="32" spans="1:54"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4" x14ac:dyDescent="0.45"/>
    <row r="45" x14ac:dyDescent="0.45"/>
    <row r="46" x14ac:dyDescent="0.45"/>
    <row r="47" x14ac:dyDescent="0.45"/>
    <row r="48" x14ac:dyDescent="0.45"/>
    <row r="49" spans="1:53" x14ac:dyDescent="0.45"/>
    <row r="50" spans="1:53" x14ac:dyDescent="0.45"/>
    <row r="51" spans="1:53" x14ac:dyDescent="0.45"/>
    <row r="52" spans="1:53" x14ac:dyDescent="0.45"/>
    <row r="53" spans="1:53" x14ac:dyDescent="0.45"/>
    <row r="54" spans="1:53" x14ac:dyDescent="0.45"/>
    <row r="55" spans="1:53" x14ac:dyDescent="0.45"/>
    <row r="56" spans="1:53" x14ac:dyDescent="0.45"/>
    <row r="57" spans="1:53" x14ac:dyDescent="0.45"/>
    <row r="58" spans="1:53" x14ac:dyDescent="0.45"/>
    <row r="59" spans="1:53" x14ac:dyDescent="0.45">
      <c r="A59" s="45" t="s">
        <v>211</v>
      </c>
    </row>
    <row r="60" spans="1:53" x14ac:dyDescent="0.45">
      <c r="B60" s="30" t="str">
        <f>B4</f>
        <v>Year 1</v>
      </c>
      <c r="C60" s="30" t="str">
        <f t="shared" ref="C60:AY60" si="1">C4</f>
        <v>Year 2</v>
      </c>
      <c r="D60" s="30" t="str">
        <f t="shared" si="1"/>
        <v>Year 3</v>
      </c>
      <c r="E60" s="30" t="str">
        <f t="shared" si="1"/>
        <v>Year 4</v>
      </c>
      <c r="F60" s="30" t="str">
        <f t="shared" si="1"/>
        <v>Year 5</v>
      </c>
      <c r="G60" s="30" t="str">
        <f t="shared" si="1"/>
        <v>Year 6</v>
      </c>
      <c r="H60" s="30" t="str">
        <f t="shared" si="1"/>
        <v>Year 7</v>
      </c>
      <c r="I60" s="30" t="str">
        <f t="shared" si="1"/>
        <v>Year 8</v>
      </c>
      <c r="J60" s="30" t="str">
        <f t="shared" si="1"/>
        <v>Year 9</v>
      </c>
      <c r="K60" s="30" t="str">
        <f t="shared" si="1"/>
        <v>Year 10</v>
      </c>
      <c r="L60" s="30" t="str">
        <f t="shared" si="1"/>
        <v>Year 11</v>
      </c>
      <c r="M60" s="30" t="str">
        <f t="shared" si="1"/>
        <v>Year 12</v>
      </c>
      <c r="N60" s="30" t="str">
        <f t="shared" si="1"/>
        <v>Year 13</v>
      </c>
      <c r="O60" s="30" t="str">
        <f t="shared" si="1"/>
        <v>Year 14</v>
      </c>
      <c r="P60" s="30" t="str">
        <f t="shared" si="1"/>
        <v>Year 15</v>
      </c>
      <c r="Q60" s="30" t="str">
        <f t="shared" si="1"/>
        <v>Year 16</v>
      </c>
      <c r="R60" s="30" t="str">
        <f t="shared" si="1"/>
        <v>Year 17</v>
      </c>
      <c r="S60" s="30" t="str">
        <f t="shared" si="1"/>
        <v>Year 18</v>
      </c>
      <c r="T60" s="30" t="str">
        <f t="shared" si="1"/>
        <v>Year 19</v>
      </c>
      <c r="U60" s="30" t="str">
        <f t="shared" si="1"/>
        <v>Year 20</v>
      </c>
      <c r="V60" s="30" t="str">
        <f t="shared" si="1"/>
        <v>Year 21</v>
      </c>
      <c r="W60" s="30" t="str">
        <f t="shared" si="1"/>
        <v>Year 22</v>
      </c>
      <c r="X60" s="30" t="str">
        <f t="shared" si="1"/>
        <v>Year 23</v>
      </c>
      <c r="Y60" s="30" t="str">
        <f t="shared" si="1"/>
        <v>Year 24</v>
      </c>
      <c r="Z60" s="30" t="str">
        <f t="shared" si="1"/>
        <v>Year 25</v>
      </c>
      <c r="AA60" s="30" t="str">
        <f t="shared" si="1"/>
        <v>Year 26</v>
      </c>
      <c r="AB60" s="30" t="str">
        <f t="shared" si="1"/>
        <v>Year 27</v>
      </c>
      <c r="AC60" s="30" t="str">
        <f t="shared" si="1"/>
        <v>Year 28</v>
      </c>
      <c r="AD60" s="30" t="str">
        <f t="shared" si="1"/>
        <v>Year 29</v>
      </c>
      <c r="AE60" s="30" t="str">
        <f t="shared" si="1"/>
        <v>Year 30</v>
      </c>
      <c r="AF60" s="30" t="str">
        <f t="shared" si="1"/>
        <v>Year 31</v>
      </c>
      <c r="AG60" s="30" t="str">
        <f t="shared" si="1"/>
        <v>Year 32</v>
      </c>
      <c r="AH60" s="30" t="str">
        <f t="shared" si="1"/>
        <v>Year 33</v>
      </c>
      <c r="AI60" s="30" t="str">
        <f t="shared" si="1"/>
        <v>Year 34</v>
      </c>
      <c r="AJ60" s="30" t="str">
        <f t="shared" si="1"/>
        <v>Year 35</v>
      </c>
      <c r="AK60" s="30" t="str">
        <f t="shared" si="1"/>
        <v>Year 36</v>
      </c>
      <c r="AL60" s="30" t="str">
        <f t="shared" si="1"/>
        <v>Year 37</v>
      </c>
      <c r="AM60" s="30" t="str">
        <f t="shared" si="1"/>
        <v>Year 38</v>
      </c>
      <c r="AN60" s="30" t="str">
        <f t="shared" si="1"/>
        <v>Year 39</v>
      </c>
      <c r="AO60" s="30" t="str">
        <f t="shared" si="1"/>
        <v>Year 40</v>
      </c>
      <c r="AP60" s="30" t="str">
        <f t="shared" si="1"/>
        <v>Year 41</v>
      </c>
      <c r="AQ60" s="30" t="str">
        <f t="shared" si="1"/>
        <v>Year 42</v>
      </c>
      <c r="AR60" s="30" t="str">
        <f t="shared" si="1"/>
        <v>Year 43</v>
      </c>
      <c r="AS60" s="30" t="str">
        <f t="shared" si="1"/>
        <v>Year 44</v>
      </c>
      <c r="AT60" s="30" t="str">
        <f t="shared" si="1"/>
        <v>Year 45</v>
      </c>
      <c r="AU60" s="30" t="str">
        <f t="shared" si="1"/>
        <v>Year 46</v>
      </c>
      <c r="AV60" s="30" t="str">
        <f t="shared" si="1"/>
        <v>Year 47</v>
      </c>
      <c r="AW60" s="30" t="str">
        <f t="shared" si="1"/>
        <v>Year 48</v>
      </c>
      <c r="AX60" s="30" t="str">
        <f t="shared" si="1"/>
        <v>Year 49</v>
      </c>
      <c r="AY60" s="30" t="str">
        <f t="shared" si="1"/>
        <v>Year 50</v>
      </c>
    </row>
    <row r="61" spans="1:53" x14ac:dyDescent="0.45">
      <c r="A61" s="41" t="str">
        <f>A5</f>
        <v>Concrete cutting ($)</v>
      </c>
      <c r="B61" s="217">
        <f>IFERROR(B5/Dashboard_1!$H$6,0)</f>
        <v>0</v>
      </c>
      <c r="C61" s="217">
        <f>IFERROR(C5/Dashboard_1!$H$6,0)</f>
        <v>0</v>
      </c>
      <c r="D61" s="217">
        <f>IFERROR(D5/Dashboard_1!$H$6,0)</f>
        <v>0</v>
      </c>
      <c r="E61" s="217">
        <f>IFERROR(E5/Dashboard_1!$H$6,0)</f>
        <v>0</v>
      </c>
      <c r="F61" s="217">
        <f>IFERROR(F5/Dashboard_1!$H$6,0)</f>
        <v>0</v>
      </c>
      <c r="G61" s="217">
        <f>IFERROR(G5/Dashboard_1!$H$6,0)</f>
        <v>0</v>
      </c>
      <c r="H61" s="217">
        <f>IFERROR(H5/Dashboard_1!$H$6,0)</f>
        <v>0</v>
      </c>
      <c r="I61" s="217">
        <f>IFERROR(I5/Dashboard_1!$H$6,0)</f>
        <v>0</v>
      </c>
      <c r="J61" s="217">
        <f>IFERROR(J5/Dashboard_1!$H$6,0)</f>
        <v>0</v>
      </c>
      <c r="K61" s="217">
        <f>IFERROR(K5/Dashboard_1!$H$6,0)</f>
        <v>0</v>
      </c>
      <c r="L61" s="217">
        <f>IFERROR(L5/Dashboard_1!$H$6,0)</f>
        <v>0</v>
      </c>
      <c r="M61" s="217">
        <f>IFERROR(M5/Dashboard_1!$H$6,0)</f>
        <v>0</v>
      </c>
      <c r="N61" s="217">
        <f>IFERROR(N5/Dashboard_1!$H$6,0)</f>
        <v>0</v>
      </c>
      <c r="O61" s="217">
        <f>IFERROR(O5/Dashboard_1!$H$6,0)</f>
        <v>0</v>
      </c>
      <c r="P61" s="217">
        <f>IFERROR(P5/Dashboard_1!$H$6,0)</f>
        <v>0</v>
      </c>
      <c r="Q61" s="217">
        <f>IFERROR(Q5/Dashboard_1!$H$6,0)</f>
        <v>0</v>
      </c>
      <c r="R61" s="217">
        <f>IFERROR(R5/Dashboard_1!$H$6,0)</f>
        <v>0</v>
      </c>
      <c r="S61" s="217">
        <f>IFERROR(S5/Dashboard_1!$H$6,0)</f>
        <v>0</v>
      </c>
      <c r="T61" s="217">
        <f>IFERROR(T5/Dashboard_1!$H$6,0)</f>
        <v>0</v>
      </c>
      <c r="U61" s="217">
        <f>IFERROR(U5/Dashboard_1!$H$6,0)</f>
        <v>0</v>
      </c>
      <c r="V61" s="217">
        <f>IFERROR(V5/Dashboard_1!$H$6,0)</f>
        <v>0</v>
      </c>
      <c r="W61" s="217">
        <f>IFERROR(W5/Dashboard_1!$H$6,0)</f>
        <v>0</v>
      </c>
      <c r="X61" s="217">
        <f>IFERROR(X5/Dashboard_1!$H$6,0)</f>
        <v>0</v>
      </c>
      <c r="Y61" s="217">
        <f>IFERROR(Y5/Dashboard_1!$H$6,0)</f>
        <v>0</v>
      </c>
      <c r="Z61" s="217">
        <f>IFERROR(Z5/Dashboard_1!$H$6,0)</f>
        <v>0</v>
      </c>
      <c r="AA61" s="217">
        <f>IFERROR(AA5/Dashboard_1!$H$6,0)</f>
        <v>0</v>
      </c>
      <c r="AB61" s="217">
        <f>IFERROR(AB5/Dashboard_1!$H$6,0)</f>
        <v>0</v>
      </c>
      <c r="AC61" s="217">
        <f>IFERROR(AC5/Dashboard_1!$H$6,0)</f>
        <v>0</v>
      </c>
      <c r="AD61" s="217">
        <f>IFERROR(AD5/Dashboard_1!$H$6,0)</f>
        <v>0</v>
      </c>
      <c r="AE61" s="217">
        <f>IFERROR(AE5/Dashboard_1!$H$6,0)</f>
        <v>0</v>
      </c>
      <c r="AF61" s="217">
        <f>IFERROR(AF5/Dashboard_1!$H$6,0)</f>
        <v>0</v>
      </c>
      <c r="AG61" s="217">
        <f>IFERROR(AG5/Dashboard_1!$H$6,0)</f>
        <v>0</v>
      </c>
      <c r="AH61" s="217">
        <f>IFERROR(AH5/Dashboard_1!$H$6,0)</f>
        <v>0</v>
      </c>
      <c r="AI61" s="217">
        <f>IFERROR(AI5/Dashboard_1!$H$6,0)</f>
        <v>0</v>
      </c>
      <c r="AJ61" s="217">
        <f>IFERROR(AJ5/Dashboard_1!$H$6,0)</f>
        <v>0</v>
      </c>
      <c r="AK61" s="217">
        <f>IFERROR(AK5/Dashboard_1!$H$6,0)</f>
        <v>0</v>
      </c>
      <c r="AL61" s="217">
        <f>IFERROR(AL5/Dashboard_1!$H$6,0)</f>
        <v>0</v>
      </c>
      <c r="AM61" s="217">
        <f>IFERROR(AM5/Dashboard_1!$H$6,0)</f>
        <v>0</v>
      </c>
      <c r="AN61" s="217">
        <f>IFERROR(AN5/Dashboard_1!$H$6,0)</f>
        <v>0</v>
      </c>
      <c r="AO61" s="217">
        <f>IFERROR(AO5/Dashboard_1!$H$6,0)</f>
        <v>0</v>
      </c>
      <c r="AP61" s="217">
        <f>IFERROR(AP5/Dashboard_1!$H$6,0)</f>
        <v>0</v>
      </c>
      <c r="AQ61" s="217">
        <f>IFERROR(AQ5/Dashboard_1!$H$6,0)</f>
        <v>0</v>
      </c>
      <c r="AR61" s="217">
        <f>IFERROR(AR5/Dashboard_1!$H$6,0)</f>
        <v>0</v>
      </c>
      <c r="AS61" s="217">
        <f>IFERROR(AS5/Dashboard_1!$H$6,0)</f>
        <v>0</v>
      </c>
      <c r="AT61" s="217">
        <f>IFERROR(AT5/Dashboard_1!$H$6,0)</f>
        <v>0</v>
      </c>
      <c r="AU61" s="217">
        <f>IFERROR(AU5/Dashboard_1!$H$6,0)</f>
        <v>0</v>
      </c>
      <c r="AV61" s="217">
        <f>IFERROR(AV5/Dashboard_1!$H$6,0)</f>
        <v>0</v>
      </c>
      <c r="AW61" s="217">
        <f>IFERROR(AW5/Dashboard_1!$H$6,0)</f>
        <v>0</v>
      </c>
      <c r="AX61" s="217">
        <f>IFERROR(AX5/Dashboard_1!$H$6,0)</f>
        <v>0</v>
      </c>
      <c r="AY61" s="217">
        <f>IFERROR(AY5/Dashboard_1!$H$6,0)</f>
        <v>0</v>
      </c>
      <c r="AZ61" s="180"/>
      <c r="BA61" s="180"/>
    </row>
    <row r="62" spans="1:53" x14ac:dyDescent="0.45">
      <c r="A62" s="41" t="str">
        <f t="shared" ref="A62:A82" si="2">A6</f>
        <v>Supply ($)</v>
      </c>
      <c r="B62" s="217">
        <f>IFERROR(B6/Dashboard_1!$H$6,0)</f>
        <v>186.87190075840002</v>
      </c>
      <c r="C62" s="217">
        <f>IFERROR(C6/Dashboard_1!$H$6,0)</f>
        <v>186.87190075840002</v>
      </c>
      <c r="D62" s="217">
        <f>IFERROR(D6/Dashboard_1!$H$6,0)</f>
        <v>186.87190075840002</v>
      </c>
      <c r="E62" s="217">
        <f>IFERROR(E6/Dashboard_1!$H$6,0)</f>
        <v>186.87190075840002</v>
      </c>
      <c r="F62" s="217">
        <f>IFERROR(F6/Dashboard_1!$H$6,0)</f>
        <v>186.87190075840002</v>
      </c>
      <c r="G62" s="217">
        <f>IFERROR(G6/Dashboard_1!$H$6,0)</f>
        <v>186.87190075840002</v>
      </c>
      <c r="H62" s="217">
        <f>IFERROR(H6/Dashboard_1!$H$6,0)</f>
        <v>186.87190075840002</v>
      </c>
      <c r="I62" s="217">
        <f>IFERROR(I6/Dashboard_1!$H$6,0)</f>
        <v>186.87190075840002</v>
      </c>
      <c r="J62" s="217">
        <f>IFERROR(J6/Dashboard_1!$H$6,0)</f>
        <v>186.87190075840002</v>
      </c>
      <c r="K62" s="217">
        <f>IFERROR(K6/Dashboard_1!$H$6,0)</f>
        <v>186.87190075840002</v>
      </c>
      <c r="L62" s="217">
        <f>IFERROR(L6/Dashboard_1!$H$6,0)</f>
        <v>186.87190075840002</v>
      </c>
      <c r="M62" s="217">
        <f>IFERROR(M6/Dashboard_1!$H$6,0)</f>
        <v>186.87190075840002</v>
      </c>
      <c r="N62" s="217">
        <f>IFERROR(N6/Dashboard_1!$H$6,0)</f>
        <v>186.87190075840002</v>
      </c>
      <c r="O62" s="217">
        <f>IFERROR(O6/Dashboard_1!$H$6,0)</f>
        <v>186.87190075840002</v>
      </c>
      <c r="P62" s="217">
        <f>IFERROR(P6/Dashboard_1!$H$6,0)</f>
        <v>186.87190075840002</v>
      </c>
      <c r="Q62" s="217">
        <f>IFERROR(Q6/Dashboard_1!$H$6,0)</f>
        <v>186.87190075840002</v>
      </c>
      <c r="R62" s="217">
        <f>IFERROR(R6/Dashboard_1!$H$6,0)</f>
        <v>186.87190075840002</v>
      </c>
      <c r="S62" s="217">
        <f>IFERROR(S6/Dashboard_1!$H$6,0)</f>
        <v>186.87190075840002</v>
      </c>
      <c r="T62" s="217">
        <f>IFERROR(T6/Dashboard_1!$H$6,0)</f>
        <v>186.87190075840002</v>
      </c>
      <c r="U62" s="217">
        <f>IFERROR(U6/Dashboard_1!$H$6,0)</f>
        <v>186.87190075840002</v>
      </c>
      <c r="V62" s="217">
        <f>IFERROR(V6/Dashboard_1!$H$6,0)</f>
        <v>186.87190075840002</v>
      </c>
      <c r="W62" s="217">
        <f>IFERROR(W6/Dashboard_1!$H$6,0)</f>
        <v>186.87190075840002</v>
      </c>
      <c r="X62" s="217">
        <f>IFERROR(X6/Dashboard_1!$H$6,0)</f>
        <v>186.87190075840002</v>
      </c>
      <c r="Y62" s="217">
        <f>IFERROR(Y6/Dashboard_1!$H$6,0)</f>
        <v>186.87190075840002</v>
      </c>
      <c r="Z62" s="217">
        <f>IFERROR(Z6/Dashboard_1!$H$6,0)</f>
        <v>186.87190075840002</v>
      </c>
      <c r="AA62" s="217">
        <f>IFERROR(AA6/Dashboard_1!$H$6,0)</f>
        <v>186.87190075840002</v>
      </c>
      <c r="AB62" s="217">
        <f>IFERROR(AB6/Dashboard_1!$H$6,0)</f>
        <v>186.87190075840002</v>
      </c>
      <c r="AC62" s="217">
        <f>IFERROR(AC6/Dashboard_1!$H$6,0)</f>
        <v>186.87190075840002</v>
      </c>
      <c r="AD62" s="217">
        <f>IFERROR(AD6/Dashboard_1!$H$6,0)</f>
        <v>186.87190075840002</v>
      </c>
      <c r="AE62" s="217">
        <f>IFERROR(AE6/Dashboard_1!$H$6,0)</f>
        <v>186.87190075840002</v>
      </c>
      <c r="AF62" s="217">
        <f>IFERROR(AF6/Dashboard_1!$H$6,0)</f>
        <v>186.87190075840002</v>
      </c>
      <c r="AG62" s="217">
        <f>IFERROR(AG6/Dashboard_1!$H$6,0)</f>
        <v>186.87190075840002</v>
      </c>
      <c r="AH62" s="217">
        <f>IFERROR(AH6/Dashboard_1!$H$6,0)</f>
        <v>186.87190075840002</v>
      </c>
      <c r="AI62" s="217">
        <f>IFERROR(AI6/Dashboard_1!$H$6,0)</f>
        <v>186.87190075840002</v>
      </c>
      <c r="AJ62" s="217">
        <f>IFERROR(AJ6/Dashboard_1!$H$6,0)</f>
        <v>186.87190075840002</v>
      </c>
      <c r="AK62" s="217">
        <f>IFERROR(AK6/Dashboard_1!$H$6,0)</f>
        <v>186.87190075840002</v>
      </c>
      <c r="AL62" s="217">
        <f>IFERROR(AL6/Dashboard_1!$H$6,0)</f>
        <v>186.87190075840002</v>
      </c>
      <c r="AM62" s="217">
        <f>IFERROR(AM6/Dashboard_1!$H$6,0)</f>
        <v>186.87190075840002</v>
      </c>
      <c r="AN62" s="217">
        <f>IFERROR(AN6/Dashboard_1!$H$6,0)</f>
        <v>186.87190075840002</v>
      </c>
      <c r="AO62" s="217">
        <f>IFERROR(AO6/Dashboard_1!$H$6,0)</f>
        <v>186.87190075840002</v>
      </c>
      <c r="AP62" s="217">
        <f>IFERROR(AP6/Dashboard_1!$H$6,0)</f>
        <v>186.87190075840002</v>
      </c>
      <c r="AQ62" s="217">
        <f>IFERROR(AQ6/Dashboard_1!$H$6,0)</f>
        <v>186.87190075840002</v>
      </c>
      <c r="AR62" s="217">
        <f>IFERROR(AR6/Dashboard_1!$H$6,0)</f>
        <v>186.87190075840002</v>
      </c>
      <c r="AS62" s="217">
        <f>IFERROR(AS6/Dashboard_1!$H$6,0)</f>
        <v>186.87190075840002</v>
      </c>
      <c r="AT62" s="217">
        <f>IFERROR(AT6/Dashboard_1!$H$6,0)</f>
        <v>186.87190075840002</v>
      </c>
      <c r="AU62" s="217">
        <f>IFERROR(AU6/Dashboard_1!$H$6,0)</f>
        <v>186.87190075840002</v>
      </c>
      <c r="AV62" s="217">
        <f>IFERROR(AV6/Dashboard_1!$H$6,0)</f>
        <v>186.87190075840002</v>
      </c>
      <c r="AW62" s="217">
        <f>IFERROR(AW6/Dashboard_1!$H$6,0)</f>
        <v>186.87190075840002</v>
      </c>
      <c r="AX62" s="217">
        <f>IFERROR(AX6/Dashboard_1!$H$6,0)</f>
        <v>186.87190075840002</v>
      </c>
      <c r="AY62" s="217">
        <f>IFERROR(AY6/Dashboard_1!$H$6,0)</f>
        <v>186.87190075840002</v>
      </c>
      <c r="AZ62" s="180"/>
      <c r="BA62" s="180"/>
    </row>
    <row r="63" spans="1:53" x14ac:dyDescent="0.45">
      <c r="A63" s="41" t="str">
        <f t="shared" si="2"/>
        <v>Tree installation ($)</v>
      </c>
      <c r="B63" s="217">
        <f>IFERROR(B7/Dashboard_1!$H$6,0)</f>
        <v>0</v>
      </c>
      <c r="C63" s="217">
        <f>IFERROR(C7/Dashboard_1!$H$6,0)</f>
        <v>0</v>
      </c>
      <c r="D63" s="217">
        <f>IFERROR(D7/Dashboard_1!$H$6,0)</f>
        <v>0</v>
      </c>
      <c r="E63" s="217">
        <f>IFERROR(E7/Dashboard_1!$H$6,0)</f>
        <v>0</v>
      </c>
      <c r="F63" s="217">
        <f>IFERROR(F7/Dashboard_1!$H$6,0)</f>
        <v>0</v>
      </c>
      <c r="G63" s="217">
        <f>IFERROR(G7/Dashboard_1!$H$6,0)</f>
        <v>0</v>
      </c>
      <c r="H63" s="217">
        <f>IFERROR(H7/Dashboard_1!$H$6,0)</f>
        <v>0</v>
      </c>
      <c r="I63" s="217">
        <f>IFERROR(I7/Dashboard_1!$H$6,0)</f>
        <v>0</v>
      </c>
      <c r="J63" s="217">
        <f>IFERROR(J7/Dashboard_1!$H$6,0)</f>
        <v>0</v>
      </c>
      <c r="K63" s="217">
        <f>IFERROR(K7/Dashboard_1!$H$6,0)</f>
        <v>0</v>
      </c>
      <c r="L63" s="217">
        <f>IFERROR(L7/Dashboard_1!$H$6,0)</f>
        <v>0</v>
      </c>
      <c r="M63" s="217">
        <f>IFERROR(M7/Dashboard_1!$H$6,0)</f>
        <v>0</v>
      </c>
      <c r="N63" s="217">
        <f>IFERROR(N7/Dashboard_1!$H$6,0)</f>
        <v>0</v>
      </c>
      <c r="O63" s="217">
        <f>IFERROR(O7/Dashboard_1!$H$6,0)</f>
        <v>0</v>
      </c>
      <c r="P63" s="217">
        <f>IFERROR(P7/Dashboard_1!$H$6,0)</f>
        <v>0</v>
      </c>
      <c r="Q63" s="217">
        <f>IFERROR(Q7/Dashboard_1!$H$6,0)</f>
        <v>0</v>
      </c>
      <c r="R63" s="217">
        <f>IFERROR(R7/Dashboard_1!$H$6,0)</f>
        <v>0</v>
      </c>
      <c r="S63" s="217">
        <f>IFERROR(S7/Dashboard_1!$H$6,0)</f>
        <v>0</v>
      </c>
      <c r="T63" s="217">
        <f>IFERROR(T7/Dashboard_1!$H$6,0)</f>
        <v>0</v>
      </c>
      <c r="U63" s="217">
        <f>IFERROR(U7/Dashboard_1!$H$6,0)</f>
        <v>0</v>
      </c>
      <c r="V63" s="217">
        <f>IFERROR(V7/Dashboard_1!$H$6,0)</f>
        <v>0</v>
      </c>
      <c r="W63" s="217">
        <f>IFERROR(W7/Dashboard_1!$H$6,0)</f>
        <v>0</v>
      </c>
      <c r="X63" s="217">
        <f>IFERROR(X7/Dashboard_1!$H$6,0)</f>
        <v>0</v>
      </c>
      <c r="Y63" s="217">
        <f>IFERROR(Y7/Dashboard_1!$H$6,0)</f>
        <v>0</v>
      </c>
      <c r="Z63" s="217">
        <f>IFERROR(Z7/Dashboard_1!$H$6,0)</f>
        <v>0</v>
      </c>
      <c r="AA63" s="217">
        <f>IFERROR(AA7/Dashboard_1!$H$6,0)</f>
        <v>0</v>
      </c>
      <c r="AB63" s="217">
        <f>IFERROR(AB7/Dashboard_1!$H$6,0)</f>
        <v>0</v>
      </c>
      <c r="AC63" s="217">
        <f>IFERROR(AC7/Dashboard_1!$H$6,0)</f>
        <v>0</v>
      </c>
      <c r="AD63" s="217">
        <f>IFERROR(AD7/Dashboard_1!$H$6,0)</f>
        <v>0</v>
      </c>
      <c r="AE63" s="217">
        <f>IFERROR(AE7/Dashboard_1!$H$6,0)</f>
        <v>0</v>
      </c>
      <c r="AF63" s="217">
        <f>IFERROR(AF7/Dashboard_1!$H$6,0)</f>
        <v>0</v>
      </c>
      <c r="AG63" s="217">
        <f>IFERROR(AG7/Dashboard_1!$H$6,0)</f>
        <v>0</v>
      </c>
      <c r="AH63" s="217">
        <f>IFERROR(AH7/Dashboard_1!$H$6,0)</f>
        <v>0</v>
      </c>
      <c r="AI63" s="217">
        <f>IFERROR(AI7/Dashboard_1!$H$6,0)</f>
        <v>0</v>
      </c>
      <c r="AJ63" s="217">
        <f>IFERROR(AJ7/Dashboard_1!$H$6,0)</f>
        <v>0</v>
      </c>
      <c r="AK63" s="217">
        <f>IFERROR(AK7/Dashboard_1!$H$6,0)</f>
        <v>0</v>
      </c>
      <c r="AL63" s="217">
        <f>IFERROR(AL7/Dashboard_1!$H$6,0)</f>
        <v>0</v>
      </c>
      <c r="AM63" s="217">
        <f>IFERROR(AM7/Dashboard_1!$H$6,0)</f>
        <v>0</v>
      </c>
      <c r="AN63" s="217">
        <f>IFERROR(AN7/Dashboard_1!$H$6,0)</f>
        <v>0</v>
      </c>
      <c r="AO63" s="217">
        <f>IFERROR(AO7/Dashboard_1!$H$6,0)</f>
        <v>0</v>
      </c>
      <c r="AP63" s="217">
        <f>IFERROR(AP7/Dashboard_1!$H$6,0)</f>
        <v>0</v>
      </c>
      <c r="AQ63" s="217">
        <f>IFERROR(AQ7/Dashboard_1!$H$6,0)</f>
        <v>0</v>
      </c>
      <c r="AR63" s="217">
        <f>IFERROR(AR7/Dashboard_1!$H$6,0)</f>
        <v>0</v>
      </c>
      <c r="AS63" s="217">
        <f>IFERROR(AS7/Dashboard_1!$H$6,0)</f>
        <v>0</v>
      </c>
      <c r="AT63" s="217">
        <f>IFERROR(AT7/Dashboard_1!$H$6,0)</f>
        <v>0</v>
      </c>
      <c r="AU63" s="217">
        <f>IFERROR(AU7/Dashboard_1!$H$6,0)</f>
        <v>0</v>
      </c>
      <c r="AV63" s="217">
        <f>IFERROR(AV7/Dashboard_1!$H$6,0)</f>
        <v>0</v>
      </c>
      <c r="AW63" s="217">
        <f>IFERROR(AW7/Dashboard_1!$H$6,0)</f>
        <v>0</v>
      </c>
      <c r="AX63" s="217">
        <f>IFERROR(AX7/Dashboard_1!$H$6,0)</f>
        <v>0</v>
      </c>
      <c r="AY63" s="217">
        <f>IFERROR(AY7/Dashboard_1!$H$6,0)</f>
        <v>0</v>
      </c>
      <c r="AZ63" s="180"/>
      <c r="BA63" s="180"/>
    </row>
    <row r="64" spans="1:53" x14ac:dyDescent="0.45">
      <c r="A64" s="41" t="str">
        <f t="shared" si="2"/>
        <v>Unbundled installation</v>
      </c>
      <c r="B64" s="217">
        <f>IFERROR(B8/Dashboard_1!$H$6,0)</f>
        <v>24.333333333333336</v>
      </c>
      <c r="C64" s="217">
        <f>IFERROR(C8/Dashboard_1!$H$6,0)</f>
        <v>24.333333333333336</v>
      </c>
      <c r="D64" s="217">
        <f>IFERROR(D8/Dashboard_1!$H$6,0)</f>
        <v>24.333333333333336</v>
      </c>
      <c r="E64" s="217">
        <f>IFERROR(E8/Dashboard_1!$H$6,0)</f>
        <v>24.333333333333336</v>
      </c>
      <c r="F64" s="217">
        <f>IFERROR(F8/Dashboard_1!$H$6,0)</f>
        <v>24.333333333333336</v>
      </c>
      <c r="G64" s="217">
        <f>IFERROR(G8/Dashboard_1!$H$6,0)</f>
        <v>24.333333333333336</v>
      </c>
      <c r="H64" s="217">
        <f>IFERROR(H8/Dashboard_1!$H$6,0)</f>
        <v>24.333333333333336</v>
      </c>
      <c r="I64" s="217">
        <f>IFERROR(I8/Dashboard_1!$H$6,0)</f>
        <v>24.333333333333336</v>
      </c>
      <c r="J64" s="217">
        <f>IFERROR(J8/Dashboard_1!$H$6,0)</f>
        <v>24.333333333333336</v>
      </c>
      <c r="K64" s="217">
        <f>IFERROR(K8/Dashboard_1!$H$6,0)</f>
        <v>24.333333333333336</v>
      </c>
      <c r="L64" s="217">
        <f>IFERROR(L8/Dashboard_1!$H$6,0)</f>
        <v>24.333333333333336</v>
      </c>
      <c r="M64" s="217">
        <f>IFERROR(M8/Dashboard_1!$H$6,0)</f>
        <v>24.333333333333336</v>
      </c>
      <c r="N64" s="217">
        <f>IFERROR(N8/Dashboard_1!$H$6,0)</f>
        <v>24.333333333333336</v>
      </c>
      <c r="O64" s="217">
        <f>IFERROR(O8/Dashboard_1!$H$6,0)</f>
        <v>24.333333333333336</v>
      </c>
      <c r="P64" s="217">
        <f>IFERROR(P8/Dashboard_1!$H$6,0)</f>
        <v>24.333333333333336</v>
      </c>
      <c r="Q64" s="217">
        <f>IFERROR(Q8/Dashboard_1!$H$6,0)</f>
        <v>24.333333333333336</v>
      </c>
      <c r="R64" s="217">
        <f>IFERROR(R8/Dashboard_1!$H$6,0)</f>
        <v>24.333333333333336</v>
      </c>
      <c r="S64" s="217">
        <f>IFERROR(S8/Dashboard_1!$H$6,0)</f>
        <v>24.333333333333336</v>
      </c>
      <c r="T64" s="217">
        <f>IFERROR(T8/Dashboard_1!$H$6,0)</f>
        <v>24.333333333333336</v>
      </c>
      <c r="U64" s="217">
        <f>IFERROR(U8/Dashboard_1!$H$6,0)</f>
        <v>24.333333333333336</v>
      </c>
      <c r="V64" s="217">
        <f>IFERROR(V8/Dashboard_1!$H$6,0)</f>
        <v>24.333333333333336</v>
      </c>
      <c r="W64" s="217">
        <f>IFERROR(W8/Dashboard_1!$H$6,0)</f>
        <v>24.333333333333336</v>
      </c>
      <c r="X64" s="217">
        <f>IFERROR(X8/Dashboard_1!$H$6,0)</f>
        <v>24.333333333333336</v>
      </c>
      <c r="Y64" s="217">
        <f>IFERROR(Y8/Dashboard_1!$H$6,0)</f>
        <v>24.333333333333336</v>
      </c>
      <c r="Z64" s="217">
        <f>IFERROR(Z8/Dashboard_1!$H$6,0)</f>
        <v>24.333333333333336</v>
      </c>
      <c r="AA64" s="217">
        <f>IFERROR(AA8/Dashboard_1!$H$6,0)</f>
        <v>24.333333333333336</v>
      </c>
      <c r="AB64" s="217">
        <f>IFERROR(AB8/Dashboard_1!$H$6,0)</f>
        <v>24.333333333333336</v>
      </c>
      <c r="AC64" s="217">
        <f>IFERROR(AC8/Dashboard_1!$H$6,0)</f>
        <v>24.333333333333336</v>
      </c>
      <c r="AD64" s="217">
        <f>IFERROR(AD8/Dashboard_1!$H$6,0)</f>
        <v>24.333333333333336</v>
      </c>
      <c r="AE64" s="217">
        <f>IFERROR(AE8/Dashboard_1!$H$6,0)</f>
        <v>24.333333333333336</v>
      </c>
      <c r="AF64" s="217">
        <f>IFERROR(AF8/Dashboard_1!$H$6,0)</f>
        <v>24.333333333333336</v>
      </c>
      <c r="AG64" s="217">
        <f>IFERROR(AG8/Dashboard_1!$H$6,0)</f>
        <v>24.333333333333336</v>
      </c>
      <c r="AH64" s="217">
        <f>IFERROR(AH8/Dashboard_1!$H$6,0)</f>
        <v>24.333333333333336</v>
      </c>
      <c r="AI64" s="217">
        <f>IFERROR(AI8/Dashboard_1!$H$6,0)</f>
        <v>24.333333333333336</v>
      </c>
      <c r="AJ64" s="217">
        <f>IFERROR(AJ8/Dashboard_1!$H$6,0)</f>
        <v>24.333333333333336</v>
      </c>
      <c r="AK64" s="217">
        <f>IFERROR(AK8/Dashboard_1!$H$6,0)</f>
        <v>24.333333333333336</v>
      </c>
      <c r="AL64" s="217">
        <f>IFERROR(AL8/Dashboard_1!$H$6,0)</f>
        <v>24.333333333333336</v>
      </c>
      <c r="AM64" s="217">
        <f>IFERROR(AM8/Dashboard_1!$H$6,0)</f>
        <v>24.333333333333336</v>
      </c>
      <c r="AN64" s="217">
        <f>IFERROR(AN8/Dashboard_1!$H$6,0)</f>
        <v>24.333333333333336</v>
      </c>
      <c r="AO64" s="217">
        <f>IFERROR(AO8/Dashboard_1!$H$6,0)</f>
        <v>24.333333333333336</v>
      </c>
      <c r="AP64" s="217">
        <f>IFERROR(AP8/Dashboard_1!$H$6,0)</f>
        <v>24.333333333333336</v>
      </c>
      <c r="AQ64" s="217">
        <f>IFERROR(AQ8/Dashboard_1!$H$6,0)</f>
        <v>24.333333333333336</v>
      </c>
      <c r="AR64" s="217">
        <f>IFERROR(AR8/Dashboard_1!$H$6,0)</f>
        <v>24.333333333333336</v>
      </c>
      <c r="AS64" s="217">
        <f>IFERROR(AS8/Dashboard_1!$H$6,0)</f>
        <v>24.333333333333336</v>
      </c>
      <c r="AT64" s="217">
        <f>IFERROR(AT8/Dashboard_1!$H$6,0)</f>
        <v>24.333333333333336</v>
      </c>
      <c r="AU64" s="217">
        <f>IFERROR(AU8/Dashboard_1!$H$6,0)</f>
        <v>24.333333333333336</v>
      </c>
      <c r="AV64" s="217">
        <f>IFERROR(AV8/Dashboard_1!$H$6,0)</f>
        <v>24.333333333333336</v>
      </c>
      <c r="AW64" s="217">
        <f>IFERROR(AW8/Dashboard_1!$H$6,0)</f>
        <v>24.333333333333336</v>
      </c>
      <c r="AX64" s="217">
        <f>IFERROR(AX8/Dashboard_1!$H$6,0)</f>
        <v>24.333333333333336</v>
      </c>
      <c r="AY64" s="217">
        <f>IFERROR(AY8/Dashboard_1!$H$6,0)</f>
        <v>24.333333333333336</v>
      </c>
      <c r="AZ64" s="180"/>
      <c r="BA64" s="180"/>
    </row>
    <row r="65" spans="1:53" x14ac:dyDescent="0.45">
      <c r="A65" s="41" t="str">
        <f t="shared" si="2"/>
        <v>Mulch cost ($/m3)</v>
      </c>
      <c r="B65" s="217">
        <f>IFERROR(B9/Dashboard_1!$H$6,0)</f>
        <v>9.7683311460799995</v>
      </c>
      <c r="C65" s="217">
        <f>IFERROR(C9/Dashboard_1!$H$6,0)</f>
        <v>9.7683311460799995</v>
      </c>
      <c r="D65" s="217">
        <f>IFERROR(D9/Dashboard_1!$H$6,0)</f>
        <v>9.7683311460799995</v>
      </c>
      <c r="E65" s="217">
        <f>IFERROR(E9/Dashboard_1!$H$6,0)</f>
        <v>9.7683311460799995</v>
      </c>
      <c r="F65" s="217">
        <f>IFERROR(F9/Dashboard_1!$H$6,0)</f>
        <v>9.7683311460799995</v>
      </c>
      <c r="G65" s="217">
        <f>IFERROR(G9/Dashboard_1!$H$6,0)</f>
        <v>9.7683311460799995</v>
      </c>
      <c r="H65" s="217">
        <f>IFERROR(H9/Dashboard_1!$H$6,0)</f>
        <v>9.7683311460799995</v>
      </c>
      <c r="I65" s="217">
        <f>IFERROR(I9/Dashboard_1!$H$6,0)</f>
        <v>9.7683311460799995</v>
      </c>
      <c r="J65" s="217">
        <f>IFERROR(J9/Dashboard_1!$H$6,0)</f>
        <v>9.7683311460799995</v>
      </c>
      <c r="K65" s="217">
        <f>IFERROR(K9/Dashboard_1!$H$6,0)</f>
        <v>9.7683311460799995</v>
      </c>
      <c r="L65" s="217">
        <f>IFERROR(L9/Dashboard_1!$H$6,0)</f>
        <v>9.7683311460799995</v>
      </c>
      <c r="M65" s="217">
        <f>IFERROR(M9/Dashboard_1!$H$6,0)</f>
        <v>9.7683311460799995</v>
      </c>
      <c r="N65" s="217">
        <f>IFERROR(N9/Dashboard_1!$H$6,0)</f>
        <v>9.7683311460799995</v>
      </c>
      <c r="O65" s="217">
        <f>IFERROR(O9/Dashboard_1!$H$6,0)</f>
        <v>9.7683311460799995</v>
      </c>
      <c r="P65" s="217">
        <f>IFERROR(P9/Dashboard_1!$H$6,0)</f>
        <v>9.7683311460799995</v>
      </c>
      <c r="Q65" s="217">
        <f>IFERROR(Q9/Dashboard_1!$H$6,0)</f>
        <v>9.7683311460799995</v>
      </c>
      <c r="R65" s="217">
        <f>IFERROR(R9/Dashboard_1!$H$6,0)</f>
        <v>9.7683311460799995</v>
      </c>
      <c r="S65" s="217">
        <f>IFERROR(S9/Dashboard_1!$H$6,0)</f>
        <v>9.7683311460799995</v>
      </c>
      <c r="T65" s="217">
        <f>IFERROR(T9/Dashboard_1!$H$6,0)</f>
        <v>9.7683311460799995</v>
      </c>
      <c r="U65" s="217">
        <f>IFERROR(U9/Dashboard_1!$H$6,0)</f>
        <v>9.7683311460799995</v>
      </c>
      <c r="V65" s="217">
        <f>IFERROR(V9/Dashboard_1!$H$6,0)</f>
        <v>9.7683311460799995</v>
      </c>
      <c r="W65" s="217">
        <f>IFERROR(W9/Dashboard_1!$H$6,0)</f>
        <v>9.7683311460799995</v>
      </c>
      <c r="X65" s="217">
        <f>IFERROR(X9/Dashboard_1!$H$6,0)</f>
        <v>9.7683311460799995</v>
      </c>
      <c r="Y65" s="217">
        <f>IFERROR(Y9/Dashboard_1!$H$6,0)</f>
        <v>9.7683311460799995</v>
      </c>
      <c r="Z65" s="217">
        <f>IFERROR(Z9/Dashboard_1!$H$6,0)</f>
        <v>9.7683311460799995</v>
      </c>
      <c r="AA65" s="217">
        <f>IFERROR(AA9/Dashboard_1!$H$6,0)</f>
        <v>9.7683311460799995</v>
      </c>
      <c r="AB65" s="217">
        <f>IFERROR(AB9/Dashboard_1!$H$6,0)</f>
        <v>9.7683311460799995</v>
      </c>
      <c r="AC65" s="217">
        <f>IFERROR(AC9/Dashboard_1!$H$6,0)</f>
        <v>9.7683311460799995</v>
      </c>
      <c r="AD65" s="217">
        <f>IFERROR(AD9/Dashboard_1!$H$6,0)</f>
        <v>9.7683311460799995</v>
      </c>
      <c r="AE65" s="217">
        <f>IFERROR(AE9/Dashboard_1!$H$6,0)</f>
        <v>9.7683311460799995</v>
      </c>
      <c r="AF65" s="217">
        <f>IFERROR(AF9/Dashboard_1!$H$6,0)</f>
        <v>9.7683311460799995</v>
      </c>
      <c r="AG65" s="217">
        <f>IFERROR(AG9/Dashboard_1!$H$6,0)</f>
        <v>9.7683311460799995</v>
      </c>
      <c r="AH65" s="217">
        <f>IFERROR(AH9/Dashboard_1!$H$6,0)</f>
        <v>9.7683311460799995</v>
      </c>
      <c r="AI65" s="217">
        <f>IFERROR(AI9/Dashboard_1!$H$6,0)</f>
        <v>9.7683311460799995</v>
      </c>
      <c r="AJ65" s="217">
        <f>IFERROR(AJ9/Dashboard_1!$H$6,0)</f>
        <v>9.7683311460799995</v>
      </c>
      <c r="AK65" s="217">
        <f>IFERROR(AK9/Dashboard_1!$H$6,0)</f>
        <v>9.7683311460799995</v>
      </c>
      <c r="AL65" s="217">
        <f>IFERROR(AL9/Dashboard_1!$H$6,0)</f>
        <v>9.7683311460799995</v>
      </c>
      <c r="AM65" s="217">
        <f>IFERROR(AM9/Dashboard_1!$H$6,0)</f>
        <v>9.7683311460799995</v>
      </c>
      <c r="AN65" s="217">
        <f>IFERROR(AN9/Dashboard_1!$H$6,0)</f>
        <v>9.7683311460799995</v>
      </c>
      <c r="AO65" s="217">
        <f>IFERROR(AO9/Dashboard_1!$H$6,0)</f>
        <v>9.7683311460799995</v>
      </c>
      <c r="AP65" s="217">
        <f>IFERROR(AP9/Dashboard_1!$H$6,0)</f>
        <v>9.7683311460799995</v>
      </c>
      <c r="AQ65" s="217">
        <f>IFERROR(AQ9/Dashboard_1!$H$6,0)</f>
        <v>9.7683311460799995</v>
      </c>
      <c r="AR65" s="217">
        <f>IFERROR(AR9/Dashboard_1!$H$6,0)</f>
        <v>9.7683311460799995</v>
      </c>
      <c r="AS65" s="217">
        <f>IFERROR(AS9/Dashboard_1!$H$6,0)</f>
        <v>9.7683311460799995</v>
      </c>
      <c r="AT65" s="217">
        <f>IFERROR(AT9/Dashboard_1!$H$6,0)</f>
        <v>9.7683311460799995</v>
      </c>
      <c r="AU65" s="217">
        <f>IFERROR(AU9/Dashboard_1!$H$6,0)</f>
        <v>9.7683311460799995</v>
      </c>
      <c r="AV65" s="217">
        <f>IFERROR(AV9/Dashboard_1!$H$6,0)</f>
        <v>9.7683311460799995</v>
      </c>
      <c r="AW65" s="217">
        <f>IFERROR(AW9/Dashboard_1!$H$6,0)</f>
        <v>9.7683311460799995</v>
      </c>
      <c r="AX65" s="217">
        <f>IFERROR(AX9/Dashboard_1!$H$6,0)</f>
        <v>9.7683311460799995</v>
      </c>
      <c r="AY65" s="217">
        <f>IFERROR(AY9/Dashboard_1!$H$6,0)</f>
        <v>9.7683311460799995</v>
      </c>
      <c r="AZ65" s="180"/>
      <c r="BA65" s="180"/>
    </row>
    <row r="66" spans="1:53" x14ac:dyDescent="0.45">
      <c r="A66" s="41" t="str">
        <f t="shared" si="2"/>
        <v>Stakes and ties ($)</v>
      </c>
      <c r="B66" s="217">
        <f>IFERROR(B10/Dashboard_1!$H$6,0)</f>
        <v>124.80000000000001</v>
      </c>
      <c r="C66" s="217">
        <f>IFERROR(C10/Dashboard_1!$H$6,0)</f>
        <v>124.80000000000001</v>
      </c>
      <c r="D66" s="217">
        <f>IFERROR(D10/Dashboard_1!$H$6,0)</f>
        <v>124.80000000000001</v>
      </c>
      <c r="E66" s="217">
        <f>IFERROR(E10/Dashboard_1!$H$6,0)</f>
        <v>124.80000000000001</v>
      </c>
      <c r="F66" s="217">
        <f>IFERROR(F10/Dashboard_1!$H$6,0)</f>
        <v>124.80000000000001</v>
      </c>
      <c r="G66" s="217">
        <f>IFERROR(G10/Dashboard_1!$H$6,0)</f>
        <v>124.80000000000001</v>
      </c>
      <c r="H66" s="217">
        <f>IFERROR(H10/Dashboard_1!$H$6,0)</f>
        <v>124.80000000000001</v>
      </c>
      <c r="I66" s="217">
        <f>IFERROR(I10/Dashboard_1!$H$6,0)</f>
        <v>124.80000000000001</v>
      </c>
      <c r="J66" s="217">
        <f>IFERROR(J10/Dashboard_1!$H$6,0)</f>
        <v>124.80000000000001</v>
      </c>
      <c r="K66" s="217">
        <f>IFERROR(K10/Dashboard_1!$H$6,0)</f>
        <v>124.80000000000001</v>
      </c>
      <c r="L66" s="217">
        <f>IFERROR(L10/Dashboard_1!$H$6,0)</f>
        <v>124.80000000000001</v>
      </c>
      <c r="M66" s="217">
        <f>IFERROR(M10/Dashboard_1!$H$6,0)</f>
        <v>124.80000000000001</v>
      </c>
      <c r="N66" s="217">
        <f>IFERROR(N10/Dashboard_1!$H$6,0)</f>
        <v>124.80000000000001</v>
      </c>
      <c r="O66" s="217">
        <f>IFERROR(O10/Dashboard_1!$H$6,0)</f>
        <v>124.80000000000001</v>
      </c>
      <c r="P66" s="217">
        <f>IFERROR(P10/Dashboard_1!$H$6,0)</f>
        <v>124.80000000000001</v>
      </c>
      <c r="Q66" s="217">
        <f>IFERROR(Q10/Dashboard_1!$H$6,0)</f>
        <v>124.80000000000001</v>
      </c>
      <c r="R66" s="217">
        <f>IFERROR(R10/Dashboard_1!$H$6,0)</f>
        <v>124.80000000000001</v>
      </c>
      <c r="S66" s="217">
        <f>IFERROR(S10/Dashboard_1!$H$6,0)</f>
        <v>124.80000000000001</v>
      </c>
      <c r="T66" s="217">
        <f>IFERROR(T10/Dashboard_1!$H$6,0)</f>
        <v>124.80000000000001</v>
      </c>
      <c r="U66" s="217">
        <f>IFERROR(U10/Dashboard_1!$H$6,0)</f>
        <v>124.80000000000001</v>
      </c>
      <c r="V66" s="217">
        <f>IFERROR(V10/Dashboard_1!$H$6,0)</f>
        <v>124.80000000000001</v>
      </c>
      <c r="W66" s="217">
        <f>IFERROR(W10/Dashboard_1!$H$6,0)</f>
        <v>124.80000000000001</v>
      </c>
      <c r="X66" s="217">
        <f>IFERROR(X10/Dashboard_1!$H$6,0)</f>
        <v>124.80000000000001</v>
      </c>
      <c r="Y66" s="217">
        <f>IFERROR(Y10/Dashboard_1!$H$6,0)</f>
        <v>124.80000000000001</v>
      </c>
      <c r="Z66" s="217">
        <f>IFERROR(Z10/Dashboard_1!$H$6,0)</f>
        <v>124.80000000000001</v>
      </c>
      <c r="AA66" s="217">
        <f>IFERROR(AA10/Dashboard_1!$H$6,0)</f>
        <v>124.80000000000001</v>
      </c>
      <c r="AB66" s="217">
        <f>IFERROR(AB10/Dashboard_1!$H$6,0)</f>
        <v>124.80000000000001</v>
      </c>
      <c r="AC66" s="217">
        <f>IFERROR(AC10/Dashboard_1!$H$6,0)</f>
        <v>124.80000000000001</v>
      </c>
      <c r="AD66" s="217">
        <f>IFERROR(AD10/Dashboard_1!$H$6,0)</f>
        <v>124.80000000000001</v>
      </c>
      <c r="AE66" s="217">
        <f>IFERROR(AE10/Dashboard_1!$H$6,0)</f>
        <v>124.80000000000001</v>
      </c>
      <c r="AF66" s="217">
        <f>IFERROR(AF10/Dashboard_1!$H$6,0)</f>
        <v>124.80000000000001</v>
      </c>
      <c r="AG66" s="217">
        <f>IFERROR(AG10/Dashboard_1!$H$6,0)</f>
        <v>124.80000000000001</v>
      </c>
      <c r="AH66" s="217">
        <f>IFERROR(AH10/Dashboard_1!$H$6,0)</f>
        <v>124.80000000000001</v>
      </c>
      <c r="AI66" s="217">
        <f>IFERROR(AI10/Dashboard_1!$H$6,0)</f>
        <v>124.80000000000001</v>
      </c>
      <c r="AJ66" s="217">
        <f>IFERROR(AJ10/Dashboard_1!$H$6,0)</f>
        <v>124.80000000000001</v>
      </c>
      <c r="AK66" s="217">
        <f>IFERROR(AK10/Dashboard_1!$H$6,0)</f>
        <v>124.80000000000001</v>
      </c>
      <c r="AL66" s="217">
        <f>IFERROR(AL10/Dashboard_1!$H$6,0)</f>
        <v>124.80000000000001</v>
      </c>
      <c r="AM66" s="217">
        <f>IFERROR(AM10/Dashboard_1!$H$6,0)</f>
        <v>124.80000000000001</v>
      </c>
      <c r="AN66" s="217">
        <f>IFERROR(AN10/Dashboard_1!$H$6,0)</f>
        <v>124.80000000000001</v>
      </c>
      <c r="AO66" s="217">
        <f>IFERROR(AO10/Dashboard_1!$H$6,0)</f>
        <v>124.80000000000001</v>
      </c>
      <c r="AP66" s="217">
        <f>IFERROR(AP10/Dashboard_1!$H$6,0)</f>
        <v>124.80000000000001</v>
      </c>
      <c r="AQ66" s="217">
        <f>IFERROR(AQ10/Dashboard_1!$H$6,0)</f>
        <v>124.80000000000001</v>
      </c>
      <c r="AR66" s="217">
        <f>IFERROR(AR10/Dashboard_1!$H$6,0)</f>
        <v>124.80000000000001</v>
      </c>
      <c r="AS66" s="217">
        <f>IFERROR(AS10/Dashboard_1!$H$6,0)</f>
        <v>124.80000000000001</v>
      </c>
      <c r="AT66" s="217">
        <f>IFERROR(AT10/Dashboard_1!$H$6,0)</f>
        <v>124.80000000000001</v>
      </c>
      <c r="AU66" s="217">
        <f>IFERROR(AU10/Dashboard_1!$H$6,0)</f>
        <v>124.80000000000001</v>
      </c>
      <c r="AV66" s="217">
        <f>IFERROR(AV10/Dashboard_1!$H$6,0)</f>
        <v>124.80000000000001</v>
      </c>
      <c r="AW66" s="217">
        <f>IFERROR(AW10/Dashboard_1!$H$6,0)</f>
        <v>124.80000000000001</v>
      </c>
      <c r="AX66" s="217">
        <f>IFERROR(AX10/Dashboard_1!$H$6,0)</f>
        <v>124.80000000000001</v>
      </c>
      <c r="AY66" s="217">
        <f>IFERROR(AY10/Dashboard_1!$H$6,0)</f>
        <v>124.80000000000001</v>
      </c>
      <c r="AZ66" s="180"/>
      <c r="BA66" s="180"/>
    </row>
    <row r="67" spans="1:53" x14ac:dyDescent="0.45">
      <c r="A67" s="41" t="str">
        <f t="shared" si="2"/>
        <v>Tree removal</v>
      </c>
      <c r="B67" s="217">
        <f>IFERROR(B11/Dashboard_1!$H$6,0)</f>
        <v>0</v>
      </c>
      <c r="C67" s="217">
        <f>IFERROR(C11/Dashboard_1!$H$6,0)</f>
        <v>0</v>
      </c>
      <c r="D67" s="217">
        <f>IFERROR(D11/Dashboard_1!$H$6,0)</f>
        <v>0</v>
      </c>
      <c r="E67" s="217">
        <f>IFERROR(E11/Dashboard_1!$H$6,0)</f>
        <v>0</v>
      </c>
      <c r="F67" s="217">
        <f>IFERROR(F11/Dashboard_1!$H$6,0)</f>
        <v>0</v>
      </c>
      <c r="G67" s="217">
        <f>IFERROR(G11/Dashboard_1!$H$6,0)</f>
        <v>0</v>
      </c>
      <c r="H67" s="217">
        <f>IFERROR(H11/Dashboard_1!$H$6,0)</f>
        <v>0</v>
      </c>
      <c r="I67" s="217">
        <f>IFERROR(I11/Dashboard_1!$H$6,0)</f>
        <v>0</v>
      </c>
      <c r="J67" s="217">
        <f>IFERROR(J11/Dashboard_1!$H$6,0)</f>
        <v>0</v>
      </c>
      <c r="K67" s="217">
        <f>IFERROR(K11/Dashboard_1!$H$6,0)</f>
        <v>0</v>
      </c>
      <c r="L67" s="217">
        <f>IFERROR(L11/Dashboard_1!$H$6,0)</f>
        <v>0</v>
      </c>
      <c r="M67" s="217">
        <f>IFERROR(M11/Dashboard_1!$H$6,0)</f>
        <v>0</v>
      </c>
      <c r="N67" s="217">
        <f>IFERROR(N11/Dashboard_1!$H$6,0)</f>
        <v>0</v>
      </c>
      <c r="O67" s="217">
        <f>IFERROR(O11/Dashboard_1!$H$6,0)</f>
        <v>0</v>
      </c>
      <c r="P67" s="217">
        <f>IFERROR(P11/Dashboard_1!$H$6,0)</f>
        <v>0</v>
      </c>
      <c r="Q67" s="217">
        <f>IFERROR(Q11/Dashboard_1!$H$6,0)</f>
        <v>0</v>
      </c>
      <c r="R67" s="217">
        <f>IFERROR(R11/Dashboard_1!$H$6,0)</f>
        <v>0</v>
      </c>
      <c r="S67" s="217">
        <f>IFERROR(S11/Dashboard_1!$H$6,0)</f>
        <v>0</v>
      </c>
      <c r="T67" s="217">
        <f>IFERROR(T11/Dashboard_1!$H$6,0)</f>
        <v>0</v>
      </c>
      <c r="U67" s="217">
        <f>IFERROR(U11/Dashboard_1!$H$6,0)</f>
        <v>0</v>
      </c>
      <c r="V67" s="217">
        <f>IFERROR(V11/Dashboard_1!$H$6,0)</f>
        <v>0</v>
      </c>
      <c r="W67" s="217">
        <f>IFERROR(W11/Dashboard_1!$H$6,0)</f>
        <v>0</v>
      </c>
      <c r="X67" s="217">
        <f>IFERROR(X11/Dashboard_1!$H$6,0)</f>
        <v>0</v>
      </c>
      <c r="Y67" s="217">
        <f>IFERROR(Y11/Dashboard_1!$H$6,0)</f>
        <v>0</v>
      </c>
      <c r="Z67" s="217">
        <f>IFERROR(Z11/Dashboard_1!$H$6,0)</f>
        <v>0</v>
      </c>
      <c r="AA67" s="217">
        <f>IFERROR(AA11/Dashboard_1!$H$6,0)</f>
        <v>0</v>
      </c>
      <c r="AB67" s="217">
        <f>IFERROR(AB11/Dashboard_1!$H$6,0)</f>
        <v>0</v>
      </c>
      <c r="AC67" s="217">
        <f>IFERROR(AC11/Dashboard_1!$H$6,0)</f>
        <v>0</v>
      </c>
      <c r="AD67" s="217">
        <f>IFERROR(AD11/Dashboard_1!$H$6,0)</f>
        <v>0</v>
      </c>
      <c r="AE67" s="217">
        <f>IFERROR(AE11/Dashboard_1!$H$6,0)</f>
        <v>0</v>
      </c>
      <c r="AF67" s="217">
        <f>IFERROR(AF11/Dashboard_1!$H$6,0)</f>
        <v>0</v>
      </c>
      <c r="AG67" s="217">
        <f>IFERROR(AG11/Dashboard_1!$H$6,0)</f>
        <v>0</v>
      </c>
      <c r="AH67" s="217">
        <f>IFERROR(AH11/Dashboard_1!$H$6,0)</f>
        <v>0</v>
      </c>
      <c r="AI67" s="217">
        <f>IFERROR(AI11/Dashboard_1!$H$6,0)</f>
        <v>0</v>
      </c>
      <c r="AJ67" s="217">
        <f>IFERROR(AJ11/Dashboard_1!$H$6,0)</f>
        <v>0</v>
      </c>
      <c r="AK67" s="217">
        <f>IFERROR(AK11/Dashboard_1!$H$6,0)</f>
        <v>0</v>
      </c>
      <c r="AL67" s="217">
        <f>IFERROR(AL11/Dashboard_1!$H$6,0)</f>
        <v>0</v>
      </c>
      <c r="AM67" s="217">
        <f>IFERROR(AM11/Dashboard_1!$H$6,0)</f>
        <v>0</v>
      </c>
      <c r="AN67" s="217">
        <f>IFERROR(AN11/Dashboard_1!$H$6,0)</f>
        <v>0</v>
      </c>
      <c r="AO67" s="217">
        <f>IFERROR(AO11/Dashboard_1!$H$6,0)</f>
        <v>0</v>
      </c>
      <c r="AP67" s="217">
        <f>IFERROR(AP11/Dashboard_1!$H$6,0)</f>
        <v>0</v>
      </c>
      <c r="AQ67" s="217">
        <f>IFERROR(AQ11/Dashboard_1!$H$6,0)</f>
        <v>0</v>
      </c>
      <c r="AR67" s="217">
        <f>IFERROR(AR11/Dashboard_1!$H$6,0)</f>
        <v>0</v>
      </c>
      <c r="AS67" s="217">
        <f>IFERROR(AS11/Dashboard_1!$H$6,0)</f>
        <v>0</v>
      </c>
      <c r="AT67" s="217">
        <f>IFERROR(AT11/Dashboard_1!$H$6,0)</f>
        <v>0</v>
      </c>
      <c r="AU67" s="217">
        <f>IFERROR(AU11/Dashboard_1!$H$6,0)</f>
        <v>0</v>
      </c>
      <c r="AV67" s="217">
        <f>IFERROR(AV11/Dashboard_1!$H$6,0)</f>
        <v>0</v>
      </c>
      <c r="AW67" s="217">
        <f>IFERROR(AW11/Dashboard_1!$H$6,0)</f>
        <v>0</v>
      </c>
      <c r="AX67" s="217">
        <f>IFERROR(AX11/Dashboard_1!$H$6,0)</f>
        <v>0</v>
      </c>
      <c r="AY67" s="217">
        <f>IFERROR(AY11/Dashboard_1!$H$6,0)</f>
        <v>0</v>
      </c>
      <c r="AZ67" s="180"/>
      <c r="BA67" s="180"/>
    </row>
    <row r="68" spans="1:53" x14ac:dyDescent="0.45">
      <c r="A68" s="41" t="str">
        <f t="shared" si="2"/>
        <v>Soil cost ($/m3)</v>
      </c>
      <c r="B68" s="217">
        <f>IFERROR(B12/Dashboard_1!$H$6,0)</f>
        <v>31.824000000000002</v>
      </c>
      <c r="C68" s="217">
        <f>IFERROR(C12/Dashboard_1!$H$6,0)</f>
        <v>31.824000000000002</v>
      </c>
      <c r="D68" s="217">
        <f>IFERROR(D12/Dashboard_1!$H$6,0)</f>
        <v>31.824000000000002</v>
      </c>
      <c r="E68" s="217">
        <f>IFERROR(E12/Dashboard_1!$H$6,0)</f>
        <v>31.824000000000002</v>
      </c>
      <c r="F68" s="217">
        <f>IFERROR(F12/Dashboard_1!$H$6,0)</f>
        <v>31.824000000000002</v>
      </c>
      <c r="G68" s="217">
        <f>IFERROR(G12/Dashboard_1!$H$6,0)</f>
        <v>31.824000000000002</v>
      </c>
      <c r="H68" s="217">
        <f>IFERROR(H12/Dashboard_1!$H$6,0)</f>
        <v>31.824000000000002</v>
      </c>
      <c r="I68" s="217">
        <f>IFERROR(I12/Dashboard_1!$H$6,0)</f>
        <v>31.824000000000002</v>
      </c>
      <c r="J68" s="217">
        <f>IFERROR(J12/Dashboard_1!$H$6,0)</f>
        <v>31.824000000000002</v>
      </c>
      <c r="K68" s="217">
        <f>IFERROR(K12/Dashboard_1!$H$6,0)</f>
        <v>31.824000000000002</v>
      </c>
      <c r="L68" s="217">
        <f>IFERROR(L12/Dashboard_1!$H$6,0)</f>
        <v>31.824000000000002</v>
      </c>
      <c r="M68" s="217">
        <f>IFERROR(M12/Dashboard_1!$H$6,0)</f>
        <v>31.824000000000002</v>
      </c>
      <c r="N68" s="217">
        <f>IFERROR(N12/Dashboard_1!$H$6,0)</f>
        <v>31.824000000000002</v>
      </c>
      <c r="O68" s="217">
        <f>IFERROR(O12/Dashboard_1!$H$6,0)</f>
        <v>31.824000000000002</v>
      </c>
      <c r="P68" s="217">
        <f>IFERROR(P12/Dashboard_1!$H$6,0)</f>
        <v>31.824000000000002</v>
      </c>
      <c r="Q68" s="217">
        <f>IFERROR(Q12/Dashboard_1!$H$6,0)</f>
        <v>31.824000000000002</v>
      </c>
      <c r="R68" s="217">
        <f>IFERROR(R12/Dashboard_1!$H$6,0)</f>
        <v>31.824000000000002</v>
      </c>
      <c r="S68" s="217">
        <f>IFERROR(S12/Dashboard_1!$H$6,0)</f>
        <v>31.824000000000002</v>
      </c>
      <c r="T68" s="217">
        <f>IFERROR(T12/Dashboard_1!$H$6,0)</f>
        <v>31.824000000000002</v>
      </c>
      <c r="U68" s="217">
        <f>IFERROR(U12/Dashboard_1!$H$6,0)</f>
        <v>31.824000000000002</v>
      </c>
      <c r="V68" s="217">
        <f>IFERROR(V12/Dashboard_1!$H$6,0)</f>
        <v>31.824000000000002</v>
      </c>
      <c r="W68" s="217">
        <f>IFERROR(W12/Dashboard_1!$H$6,0)</f>
        <v>31.824000000000002</v>
      </c>
      <c r="X68" s="217">
        <f>IFERROR(X12/Dashboard_1!$H$6,0)</f>
        <v>31.824000000000002</v>
      </c>
      <c r="Y68" s="217">
        <f>IFERROR(Y12/Dashboard_1!$H$6,0)</f>
        <v>31.824000000000002</v>
      </c>
      <c r="Z68" s="217">
        <f>IFERROR(Z12/Dashboard_1!$H$6,0)</f>
        <v>31.824000000000002</v>
      </c>
      <c r="AA68" s="217">
        <f>IFERROR(AA12/Dashboard_1!$H$6,0)</f>
        <v>31.824000000000002</v>
      </c>
      <c r="AB68" s="217">
        <f>IFERROR(AB12/Dashboard_1!$H$6,0)</f>
        <v>31.824000000000002</v>
      </c>
      <c r="AC68" s="217">
        <f>IFERROR(AC12/Dashboard_1!$H$6,0)</f>
        <v>31.824000000000002</v>
      </c>
      <c r="AD68" s="217">
        <f>IFERROR(AD12/Dashboard_1!$H$6,0)</f>
        <v>31.824000000000002</v>
      </c>
      <c r="AE68" s="217">
        <f>IFERROR(AE12/Dashboard_1!$H$6,0)</f>
        <v>31.824000000000002</v>
      </c>
      <c r="AF68" s="217">
        <f>IFERROR(AF12/Dashboard_1!$H$6,0)</f>
        <v>31.824000000000002</v>
      </c>
      <c r="AG68" s="217">
        <f>IFERROR(AG12/Dashboard_1!$H$6,0)</f>
        <v>31.824000000000002</v>
      </c>
      <c r="AH68" s="217">
        <f>IFERROR(AH12/Dashboard_1!$H$6,0)</f>
        <v>31.824000000000002</v>
      </c>
      <c r="AI68" s="217">
        <f>IFERROR(AI12/Dashboard_1!$H$6,0)</f>
        <v>31.824000000000002</v>
      </c>
      <c r="AJ68" s="217">
        <f>IFERROR(AJ12/Dashboard_1!$H$6,0)</f>
        <v>31.824000000000002</v>
      </c>
      <c r="AK68" s="217">
        <f>IFERROR(AK12/Dashboard_1!$H$6,0)</f>
        <v>31.824000000000002</v>
      </c>
      <c r="AL68" s="217">
        <f>IFERROR(AL12/Dashboard_1!$H$6,0)</f>
        <v>31.824000000000002</v>
      </c>
      <c r="AM68" s="217">
        <f>IFERROR(AM12/Dashboard_1!$H$6,0)</f>
        <v>31.824000000000002</v>
      </c>
      <c r="AN68" s="217">
        <f>IFERROR(AN12/Dashboard_1!$H$6,0)</f>
        <v>31.824000000000002</v>
      </c>
      <c r="AO68" s="217">
        <f>IFERROR(AO12/Dashboard_1!$H$6,0)</f>
        <v>31.824000000000002</v>
      </c>
      <c r="AP68" s="217">
        <f>IFERROR(AP12/Dashboard_1!$H$6,0)</f>
        <v>31.824000000000002</v>
      </c>
      <c r="AQ68" s="217">
        <f>IFERROR(AQ12/Dashboard_1!$H$6,0)</f>
        <v>31.824000000000002</v>
      </c>
      <c r="AR68" s="217">
        <f>IFERROR(AR12/Dashboard_1!$H$6,0)</f>
        <v>31.824000000000002</v>
      </c>
      <c r="AS68" s="217">
        <f>IFERROR(AS12/Dashboard_1!$H$6,0)</f>
        <v>31.824000000000002</v>
      </c>
      <c r="AT68" s="217">
        <f>IFERROR(AT12/Dashboard_1!$H$6,0)</f>
        <v>31.824000000000002</v>
      </c>
      <c r="AU68" s="217">
        <f>IFERROR(AU12/Dashboard_1!$H$6,0)</f>
        <v>31.824000000000002</v>
      </c>
      <c r="AV68" s="217">
        <f>IFERROR(AV12/Dashboard_1!$H$6,0)</f>
        <v>31.824000000000002</v>
      </c>
      <c r="AW68" s="217">
        <f>IFERROR(AW12/Dashboard_1!$H$6,0)</f>
        <v>31.824000000000002</v>
      </c>
      <c r="AX68" s="217">
        <f>IFERROR(AX12/Dashboard_1!$H$6,0)</f>
        <v>31.824000000000002</v>
      </c>
      <c r="AY68" s="217">
        <f>IFERROR(AY12/Dashboard_1!$H$6,0)</f>
        <v>31.824000000000002</v>
      </c>
      <c r="AZ68" s="180"/>
      <c r="BA68" s="180"/>
    </row>
    <row r="69" spans="1:53" x14ac:dyDescent="0.45">
      <c r="A69" s="41" t="str">
        <f t="shared" si="2"/>
        <v>Tree protection fencing ($)</v>
      </c>
      <c r="B69" s="217">
        <f>IFERROR(B13/Dashboard_1!$H$6,0)</f>
        <v>2.5</v>
      </c>
      <c r="C69" s="217">
        <f>IFERROR(C13/Dashboard_1!$H$6,0)</f>
        <v>2.5</v>
      </c>
      <c r="D69" s="217">
        <f>IFERROR(D13/Dashboard_1!$H$6,0)</f>
        <v>2.5</v>
      </c>
      <c r="E69" s="217">
        <f>IFERROR(E13/Dashboard_1!$H$6,0)</f>
        <v>2.5</v>
      </c>
      <c r="F69" s="217">
        <f>IFERROR(F13/Dashboard_1!$H$6,0)</f>
        <v>2.5</v>
      </c>
      <c r="G69" s="217">
        <f>IFERROR(G13/Dashboard_1!$H$6,0)</f>
        <v>2.5</v>
      </c>
      <c r="H69" s="217">
        <f>IFERROR(H13/Dashboard_1!$H$6,0)</f>
        <v>2.5</v>
      </c>
      <c r="I69" s="217">
        <f>IFERROR(I13/Dashboard_1!$H$6,0)</f>
        <v>2.5</v>
      </c>
      <c r="J69" s="217">
        <f>IFERROR(J13/Dashboard_1!$H$6,0)</f>
        <v>2.5</v>
      </c>
      <c r="K69" s="217">
        <f>IFERROR(K13/Dashboard_1!$H$6,0)</f>
        <v>2.5</v>
      </c>
      <c r="L69" s="217">
        <f>IFERROR(L13/Dashboard_1!$H$6,0)</f>
        <v>2.5</v>
      </c>
      <c r="M69" s="217">
        <f>IFERROR(M13/Dashboard_1!$H$6,0)</f>
        <v>2.5</v>
      </c>
      <c r="N69" s="217">
        <f>IFERROR(N13/Dashboard_1!$H$6,0)</f>
        <v>2.5</v>
      </c>
      <c r="O69" s="217">
        <f>IFERROR(O13/Dashboard_1!$H$6,0)</f>
        <v>2.5</v>
      </c>
      <c r="P69" s="217">
        <f>IFERROR(P13/Dashboard_1!$H$6,0)</f>
        <v>2.5</v>
      </c>
      <c r="Q69" s="217">
        <f>IFERROR(Q13/Dashboard_1!$H$6,0)</f>
        <v>2.5</v>
      </c>
      <c r="R69" s="217">
        <f>IFERROR(R13/Dashboard_1!$H$6,0)</f>
        <v>2.5</v>
      </c>
      <c r="S69" s="217">
        <f>IFERROR(S13/Dashboard_1!$H$6,0)</f>
        <v>2.5</v>
      </c>
      <c r="T69" s="217">
        <f>IFERROR(T13/Dashboard_1!$H$6,0)</f>
        <v>2.5</v>
      </c>
      <c r="U69" s="217">
        <f>IFERROR(U13/Dashboard_1!$H$6,0)</f>
        <v>2.5</v>
      </c>
      <c r="V69" s="217">
        <f>IFERROR(V13/Dashboard_1!$H$6,0)</f>
        <v>2.5</v>
      </c>
      <c r="W69" s="217">
        <f>IFERROR(W13/Dashboard_1!$H$6,0)</f>
        <v>2.5</v>
      </c>
      <c r="X69" s="217">
        <f>IFERROR(X13/Dashboard_1!$H$6,0)</f>
        <v>2.5</v>
      </c>
      <c r="Y69" s="217">
        <f>IFERROR(Y13/Dashboard_1!$H$6,0)</f>
        <v>2.5</v>
      </c>
      <c r="Z69" s="217">
        <f>IFERROR(Z13/Dashboard_1!$H$6,0)</f>
        <v>2.5</v>
      </c>
      <c r="AA69" s="217">
        <f>IFERROR(AA13/Dashboard_1!$H$6,0)</f>
        <v>2.5</v>
      </c>
      <c r="AB69" s="217">
        <f>IFERROR(AB13/Dashboard_1!$H$6,0)</f>
        <v>2.5</v>
      </c>
      <c r="AC69" s="217">
        <f>IFERROR(AC13/Dashboard_1!$H$6,0)</f>
        <v>2.5</v>
      </c>
      <c r="AD69" s="217">
        <f>IFERROR(AD13/Dashboard_1!$H$6,0)</f>
        <v>2.5</v>
      </c>
      <c r="AE69" s="217">
        <f>IFERROR(AE13/Dashboard_1!$H$6,0)</f>
        <v>2.5</v>
      </c>
      <c r="AF69" s="217">
        <f>IFERROR(AF13/Dashboard_1!$H$6,0)</f>
        <v>2.5</v>
      </c>
      <c r="AG69" s="217">
        <f>IFERROR(AG13/Dashboard_1!$H$6,0)</f>
        <v>2.5</v>
      </c>
      <c r="AH69" s="217">
        <f>IFERROR(AH13/Dashboard_1!$H$6,0)</f>
        <v>2.5</v>
      </c>
      <c r="AI69" s="217">
        <f>IFERROR(AI13/Dashboard_1!$H$6,0)</f>
        <v>2.5</v>
      </c>
      <c r="AJ69" s="217">
        <f>IFERROR(AJ13/Dashboard_1!$H$6,0)</f>
        <v>2.5</v>
      </c>
      <c r="AK69" s="217">
        <f>IFERROR(AK13/Dashboard_1!$H$6,0)</f>
        <v>2.5</v>
      </c>
      <c r="AL69" s="217">
        <f>IFERROR(AL13/Dashboard_1!$H$6,0)</f>
        <v>2.5</v>
      </c>
      <c r="AM69" s="217">
        <f>IFERROR(AM13/Dashboard_1!$H$6,0)</f>
        <v>2.5</v>
      </c>
      <c r="AN69" s="217">
        <f>IFERROR(AN13/Dashboard_1!$H$6,0)</f>
        <v>2.5</v>
      </c>
      <c r="AO69" s="217">
        <f>IFERROR(AO13/Dashboard_1!$H$6,0)</f>
        <v>2.5</v>
      </c>
      <c r="AP69" s="217">
        <f>IFERROR(AP13/Dashboard_1!$H$6,0)</f>
        <v>2.5</v>
      </c>
      <c r="AQ69" s="217">
        <f>IFERROR(AQ13/Dashboard_1!$H$6,0)</f>
        <v>2.5</v>
      </c>
      <c r="AR69" s="217">
        <f>IFERROR(AR13/Dashboard_1!$H$6,0)</f>
        <v>2.5</v>
      </c>
      <c r="AS69" s="217">
        <f>IFERROR(AS13/Dashboard_1!$H$6,0)</f>
        <v>2.5</v>
      </c>
      <c r="AT69" s="217">
        <f>IFERROR(AT13/Dashboard_1!$H$6,0)</f>
        <v>2.5</v>
      </c>
      <c r="AU69" s="217">
        <f>IFERROR(AU13/Dashboard_1!$H$6,0)</f>
        <v>2.5</v>
      </c>
      <c r="AV69" s="217">
        <f>IFERROR(AV13/Dashboard_1!$H$6,0)</f>
        <v>2.5</v>
      </c>
      <c r="AW69" s="217">
        <f>IFERROR(AW13/Dashboard_1!$H$6,0)</f>
        <v>2.5</v>
      </c>
      <c r="AX69" s="217">
        <f>IFERROR(AX13/Dashboard_1!$H$6,0)</f>
        <v>2.5</v>
      </c>
      <c r="AY69" s="217">
        <f>IFERROR(AY13/Dashboard_1!$H$6,0)</f>
        <v>2.5</v>
      </c>
      <c r="AZ69" s="180"/>
      <c r="BA69" s="180"/>
    </row>
    <row r="70" spans="1:53" x14ac:dyDescent="0.45">
      <c r="A70" s="41" t="str">
        <f t="shared" si="2"/>
        <v>Traffic control cost ($)</v>
      </c>
      <c r="B70" s="217">
        <f>IFERROR(B14/Dashboard_1!$H$6,0)</f>
        <v>0</v>
      </c>
      <c r="C70" s="217">
        <f>IFERROR(C14/Dashboard_1!$H$6,0)</f>
        <v>0</v>
      </c>
      <c r="D70" s="217">
        <f>IFERROR(D14/Dashboard_1!$H$6,0)</f>
        <v>0</v>
      </c>
      <c r="E70" s="217">
        <f>IFERROR(E14/Dashboard_1!$H$6,0)</f>
        <v>0</v>
      </c>
      <c r="F70" s="217">
        <f>IFERROR(F14/Dashboard_1!$H$6,0)</f>
        <v>0</v>
      </c>
      <c r="G70" s="217">
        <f>IFERROR(G14/Dashboard_1!$H$6,0)</f>
        <v>0</v>
      </c>
      <c r="H70" s="217">
        <f>IFERROR(H14/Dashboard_1!$H$6,0)</f>
        <v>0</v>
      </c>
      <c r="I70" s="217">
        <f>IFERROR(I14/Dashboard_1!$H$6,0)</f>
        <v>0</v>
      </c>
      <c r="J70" s="217">
        <f>IFERROR(J14/Dashboard_1!$H$6,0)</f>
        <v>0</v>
      </c>
      <c r="K70" s="217">
        <f>IFERROR(K14/Dashboard_1!$H$6,0)</f>
        <v>0</v>
      </c>
      <c r="L70" s="217">
        <f>IFERROR(L14/Dashboard_1!$H$6,0)</f>
        <v>0</v>
      </c>
      <c r="M70" s="217">
        <f>IFERROR(M14/Dashboard_1!$H$6,0)</f>
        <v>0</v>
      </c>
      <c r="N70" s="217">
        <f>IFERROR(N14/Dashboard_1!$H$6,0)</f>
        <v>0</v>
      </c>
      <c r="O70" s="217">
        <f>IFERROR(O14/Dashboard_1!$H$6,0)</f>
        <v>0</v>
      </c>
      <c r="P70" s="217">
        <f>IFERROR(P14/Dashboard_1!$H$6,0)</f>
        <v>0</v>
      </c>
      <c r="Q70" s="217">
        <f>IFERROR(Q14/Dashboard_1!$H$6,0)</f>
        <v>0</v>
      </c>
      <c r="R70" s="217">
        <f>IFERROR(R14/Dashboard_1!$H$6,0)</f>
        <v>0</v>
      </c>
      <c r="S70" s="217">
        <f>IFERROR(S14/Dashboard_1!$H$6,0)</f>
        <v>0</v>
      </c>
      <c r="T70" s="217">
        <f>IFERROR(T14/Dashboard_1!$H$6,0)</f>
        <v>0</v>
      </c>
      <c r="U70" s="217">
        <f>IFERROR(U14/Dashboard_1!$H$6,0)</f>
        <v>0</v>
      </c>
      <c r="V70" s="217">
        <f>IFERROR(V14/Dashboard_1!$H$6,0)</f>
        <v>0</v>
      </c>
      <c r="W70" s="217">
        <f>IFERROR(W14/Dashboard_1!$H$6,0)</f>
        <v>0</v>
      </c>
      <c r="X70" s="217">
        <f>IFERROR(X14/Dashboard_1!$H$6,0)</f>
        <v>0</v>
      </c>
      <c r="Y70" s="217">
        <f>IFERROR(Y14/Dashboard_1!$H$6,0)</f>
        <v>0</v>
      </c>
      <c r="Z70" s="217">
        <f>IFERROR(Z14/Dashboard_1!$H$6,0)</f>
        <v>0</v>
      </c>
      <c r="AA70" s="217">
        <f>IFERROR(AA14/Dashboard_1!$H$6,0)</f>
        <v>0</v>
      </c>
      <c r="AB70" s="217">
        <f>IFERROR(AB14/Dashboard_1!$H$6,0)</f>
        <v>0</v>
      </c>
      <c r="AC70" s="217">
        <f>IFERROR(AC14/Dashboard_1!$H$6,0)</f>
        <v>0</v>
      </c>
      <c r="AD70" s="217">
        <f>IFERROR(AD14/Dashboard_1!$H$6,0)</f>
        <v>0</v>
      </c>
      <c r="AE70" s="217">
        <f>IFERROR(AE14/Dashboard_1!$H$6,0)</f>
        <v>0</v>
      </c>
      <c r="AF70" s="217">
        <f>IFERROR(AF14/Dashboard_1!$H$6,0)</f>
        <v>0</v>
      </c>
      <c r="AG70" s="217">
        <f>IFERROR(AG14/Dashboard_1!$H$6,0)</f>
        <v>0</v>
      </c>
      <c r="AH70" s="217">
        <f>IFERROR(AH14/Dashboard_1!$H$6,0)</f>
        <v>0</v>
      </c>
      <c r="AI70" s="217">
        <f>IFERROR(AI14/Dashboard_1!$H$6,0)</f>
        <v>0</v>
      </c>
      <c r="AJ70" s="217">
        <f>IFERROR(AJ14/Dashboard_1!$H$6,0)</f>
        <v>0</v>
      </c>
      <c r="AK70" s="217">
        <f>IFERROR(AK14/Dashboard_1!$H$6,0)</f>
        <v>0</v>
      </c>
      <c r="AL70" s="217">
        <f>IFERROR(AL14/Dashboard_1!$H$6,0)</f>
        <v>0</v>
      </c>
      <c r="AM70" s="217">
        <f>IFERROR(AM14/Dashboard_1!$H$6,0)</f>
        <v>0</v>
      </c>
      <c r="AN70" s="217">
        <f>IFERROR(AN14/Dashboard_1!$H$6,0)</f>
        <v>0</v>
      </c>
      <c r="AO70" s="217">
        <f>IFERROR(AO14/Dashboard_1!$H$6,0)</f>
        <v>0</v>
      </c>
      <c r="AP70" s="217">
        <f>IFERROR(AP14/Dashboard_1!$H$6,0)</f>
        <v>0</v>
      </c>
      <c r="AQ70" s="217">
        <f>IFERROR(AQ14/Dashboard_1!$H$6,0)</f>
        <v>0</v>
      </c>
      <c r="AR70" s="217">
        <f>IFERROR(AR14/Dashboard_1!$H$6,0)</f>
        <v>0</v>
      </c>
      <c r="AS70" s="217">
        <f>IFERROR(AS14/Dashboard_1!$H$6,0)</f>
        <v>0</v>
      </c>
      <c r="AT70" s="217">
        <f>IFERROR(AT14/Dashboard_1!$H$6,0)</f>
        <v>0</v>
      </c>
      <c r="AU70" s="217">
        <f>IFERROR(AU14/Dashboard_1!$H$6,0)</f>
        <v>0</v>
      </c>
      <c r="AV70" s="217">
        <f>IFERROR(AV14/Dashboard_1!$H$6,0)</f>
        <v>0</v>
      </c>
      <c r="AW70" s="217">
        <f>IFERROR(AW14/Dashboard_1!$H$6,0)</f>
        <v>0</v>
      </c>
      <c r="AX70" s="217">
        <f>IFERROR(AX14/Dashboard_1!$H$6,0)</f>
        <v>0</v>
      </c>
      <c r="AY70" s="217">
        <f>IFERROR(AY14/Dashboard_1!$H$6,0)</f>
        <v>0</v>
      </c>
      <c r="AZ70" s="180"/>
      <c r="BA70" s="180"/>
    </row>
    <row r="71" spans="1:53" x14ac:dyDescent="0.45">
      <c r="A71" s="41" t="str">
        <f t="shared" si="2"/>
        <v>Guard rails</v>
      </c>
      <c r="B71" s="217">
        <f>IFERROR(B15/Dashboard_1!$H$6,0)</f>
        <v>0</v>
      </c>
      <c r="C71" s="217">
        <f>IFERROR(C15/Dashboard_1!$H$6,0)</f>
        <v>0</v>
      </c>
      <c r="D71" s="217">
        <f>IFERROR(D15/Dashboard_1!$H$6,0)</f>
        <v>0</v>
      </c>
      <c r="E71" s="217">
        <f>IFERROR(E15/Dashboard_1!$H$6,0)</f>
        <v>0</v>
      </c>
      <c r="F71" s="217">
        <f>IFERROR(F15/Dashboard_1!$H$6,0)</f>
        <v>0</v>
      </c>
      <c r="G71" s="217">
        <f>IFERROR(G15/Dashboard_1!$H$6,0)</f>
        <v>0</v>
      </c>
      <c r="H71" s="217">
        <f>IFERROR(H15/Dashboard_1!$H$6,0)</f>
        <v>0</v>
      </c>
      <c r="I71" s="217">
        <f>IFERROR(I15/Dashboard_1!$H$6,0)</f>
        <v>0</v>
      </c>
      <c r="J71" s="217">
        <f>IFERROR(J15/Dashboard_1!$H$6,0)</f>
        <v>0</v>
      </c>
      <c r="K71" s="217">
        <f>IFERROR(K15/Dashboard_1!$H$6,0)</f>
        <v>0</v>
      </c>
      <c r="L71" s="217">
        <f>IFERROR(L15/Dashboard_1!$H$6,0)</f>
        <v>0</v>
      </c>
      <c r="M71" s="217">
        <f>IFERROR(M15/Dashboard_1!$H$6,0)</f>
        <v>0</v>
      </c>
      <c r="N71" s="217">
        <f>IFERROR(N15/Dashboard_1!$H$6,0)</f>
        <v>0</v>
      </c>
      <c r="O71" s="217">
        <f>IFERROR(O15/Dashboard_1!$H$6,0)</f>
        <v>0</v>
      </c>
      <c r="P71" s="217">
        <f>IFERROR(P15/Dashboard_1!$H$6,0)</f>
        <v>0</v>
      </c>
      <c r="Q71" s="217">
        <f>IFERROR(Q15/Dashboard_1!$H$6,0)</f>
        <v>0</v>
      </c>
      <c r="R71" s="217">
        <f>IFERROR(R15/Dashboard_1!$H$6,0)</f>
        <v>0</v>
      </c>
      <c r="S71" s="217">
        <f>IFERROR(S15/Dashboard_1!$H$6,0)</f>
        <v>0</v>
      </c>
      <c r="T71" s="217">
        <f>IFERROR(T15/Dashboard_1!$H$6,0)</f>
        <v>0</v>
      </c>
      <c r="U71" s="217">
        <f>IFERROR(U15/Dashboard_1!$H$6,0)</f>
        <v>0</v>
      </c>
      <c r="V71" s="217">
        <f>IFERROR(V15/Dashboard_1!$H$6,0)</f>
        <v>0</v>
      </c>
      <c r="W71" s="217">
        <f>IFERROR(W15/Dashboard_1!$H$6,0)</f>
        <v>0</v>
      </c>
      <c r="X71" s="217">
        <f>IFERROR(X15/Dashboard_1!$H$6,0)</f>
        <v>0</v>
      </c>
      <c r="Y71" s="217">
        <f>IFERROR(Y15/Dashboard_1!$H$6,0)</f>
        <v>0</v>
      </c>
      <c r="Z71" s="217">
        <f>IFERROR(Z15/Dashboard_1!$H$6,0)</f>
        <v>0</v>
      </c>
      <c r="AA71" s="217">
        <f>IFERROR(AA15/Dashboard_1!$H$6,0)</f>
        <v>0</v>
      </c>
      <c r="AB71" s="217">
        <f>IFERROR(AB15/Dashboard_1!$H$6,0)</f>
        <v>0</v>
      </c>
      <c r="AC71" s="217">
        <f>IFERROR(AC15/Dashboard_1!$H$6,0)</f>
        <v>0</v>
      </c>
      <c r="AD71" s="217">
        <f>IFERROR(AD15/Dashboard_1!$H$6,0)</f>
        <v>0</v>
      </c>
      <c r="AE71" s="217">
        <f>IFERROR(AE15/Dashboard_1!$H$6,0)</f>
        <v>0</v>
      </c>
      <c r="AF71" s="217">
        <f>IFERROR(AF15/Dashboard_1!$H$6,0)</f>
        <v>0</v>
      </c>
      <c r="AG71" s="217">
        <f>IFERROR(AG15/Dashboard_1!$H$6,0)</f>
        <v>0</v>
      </c>
      <c r="AH71" s="217">
        <f>IFERROR(AH15/Dashboard_1!$H$6,0)</f>
        <v>0</v>
      </c>
      <c r="AI71" s="217">
        <f>IFERROR(AI15/Dashboard_1!$H$6,0)</f>
        <v>0</v>
      </c>
      <c r="AJ71" s="217">
        <f>IFERROR(AJ15/Dashboard_1!$H$6,0)</f>
        <v>0</v>
      </c>
      <c r="AK71" s="217">
        <f>IFERROR(AK15/Dashboard_1!$H$6,0)</f>
        <v>0</v>
      </c>
      <c r="AL71" s="217">
        <f>IFERROR(AL15/Dashboard_1!$H$6,0)</f>
        <v>0</v>
      </c>
      <c r="AM71" s="217">
        <f>IFERROR(AM15/Dashboard_1!$H$6,0)</f>
        <v>0</v>
      </c>
      <c r="AN71" s="217">
        <f>IFERROR(AN15/Dashboard_1!$H$6,0)</f>
        <v>0</v>
      </c>
      <c r="AO71" s="217">
        <f>IFERROR(AO15/Dashboard_1!$H$6,0)</f>
        <v>0</v>
      </c>
      <c r="AP71" s="217">
        <f>IFERROR(AP15/Dashboard_1!$H$6,0)</f>
        <v>0</v>
      </c>
      <c r="AQ71" s="217">
        <f>IFERROR(AQ15/Dashboard_1!$H$6,0)</f>
        <v>0</v>
      </c>
      <c r="AR71" s="217">
        <f>IFERROR(AR15/Dashboard_1!$H$6,0)</f>
        <v>0</v>
      </c>
      <c r="AS71" s="217">
        <f>IFERROR(AS15/Dashboard_1!$H$6,0)</f>
        <v>0</v>
      </c>
      <c r="AT71" s="217">
        <f>IFERROR(AT15/Dashboard_1!$H$6,0)</f>
        <v>0</v>
      </c>
      <c r="AU71" s="217">
        <f>IFERROR(AU15/Dashboard_1!$H$6,0)</f>
        <v>0</v>
      </c>
      <c r="AV71" s="217">
        <f>IFERROR(AV15/Dashboard_1!$H$6,0)</f>
        <v>0</v>
      </c>
      <c r="AW71" s="217">
        <f>IFERROR(AW15/Dashboard_1!$H$6,0)</f>
        <v>0</v>
      </c>
      <c r="AX71" s="217">
        <f>IFERROR(AX15/Dashboard_1!$H$6,0)</f>
        <v>0</v>
      </c>
      <c r="AY71" s="217">
        <f>IFERROR(AY15/Dashboard_1!$H$6,0)</f>
        <v>0</v>
      </c>
      <c r="AZ71" s="180"/>
      <c r="BA71" s="180"/>
    </row>
    <row r="72" spans="1:53" x14ac:dyDescent="0.45">
      <c r="A72" s="41" t="str">
        <f t="shared" si="2"/>
        <v>StrataVault or Strata cells ($)</v>
      </c>
      <c r="B72" s="217">
        <f>IFERROR(B16/Dashboard_1!$H$6,0)</f>
        <v>0</v>
      </c>
      <c r="C72" s="217">
        <f>IFERROR(C16/Dashboard_1!$H$6,0)</f>
        <v>0</v>
      </c>
      <c r="D72" s="217">
        <f>IFERROR(D16/Dashboard_1!$H$6,0)</f>
        <v>0</v>
      </c>
      <c r="E72" s="217">
        <f>IFERROR(E16/Dashboard_1!$H$6,0)</f>
        <v>0</v>
      </c>
      <c r="F72" s="217">
        <f>IFERROR(F16/Dashboard_1!$H$6,0)</f>
        <v>0</v>
      </c>
      <c r="G72" s="217">
        <f>IFERROR(G16/Dashboard_1!$H$6,0)</f>
        <v>0</v>
      </c>
      <c r="H72" s="217">
        <f>IFERROR(H16/Dashboard_1!$H$6,0)</f>
        <v>0</v>
      </c>
      <c r="I72" s="217">
        <f>IFERROR(I16/Dashboard_1!$H$6,0)</f>
        <v>0</v>
      </c>
      <c r="J72" s="217">
        <f>IFERROR(J16/Dashboard_1!$H$6,0)</f>
        <v>0</v>
      </c>
      <c r="K72" s="217">
        <f>IFERROR(K16/Dashboard_1!$H$6,0)</f>
        <v>0</v>
      </c>
      <c r="L72" s="217">
        <f>IFERROR(L16/Dashboard_1!$H$6,0)</f>
        <v>0</v>
      </c>
      <c r="M72" s="217">
        <f>IFERROR(M16/Dashboard_1!$H$6,0)</f>
        <v>0</v>
      </c>
      <c r="N72" s="217">
        <f>IFERROR(N16/Dashboard_1!$H$6,0)</f>
        <v>0</v>
      </c>
      <c r="O72" s="217">
        <f>IFERROR(O16/Dashboard_1!$H$6,0)</f>
        <v>0</v>
      </c>
      <c r="P72" s="217">
        <f>IFERROR(P16/Dashboard_1!$H$6,0)</f>
        <v>0</v>
      </c>
      <c r="Q72" s="217">
        <f>IFERROR(Q16/Dashboard_1!$H$6,0)</f>
        <v>0</v>
      </c>
      <c r="R72" s="217">
        <f>IFERROR(R16/Dashboard_1!$H$6,0)</f>
        <v>0</v>
      </c>
      <c r="S72" s="217">
        <f>IFERROR(S16/Dashboard_1!$H$6,0)</f>
        <v>0</v>
      </c>
      <c r="T72" s="217">
        <f>IFERROR(T16/Dashboard_1!$H$6,0)</f>
        <v>0</v>
      </c>
      <c r="U72" s="217">
        <f>IFERROR(U16/Dashboard_1!$H$6,0)</f>
        <v>0</v>
      </c>
      <c r="V72" s="217">
        <f>IFERROR(V16/Dashboard_1!$H$6,0)</f>
        <v>0</v>
      </c>
      <c r="W72" s="217">
        <f>IFERROR(W16/Dashboard_1!$H$6,0)</f>
        <v>0</v>
      </c>
      <c r="X72" s="217">
        <f>IFERROR(X16/Dashboard_1!$H$6,0)</f>
        <v>0</v>
      </c>
      <c r="Y72" s="217">
        <f>IFERROR(Y16/Dashboard_1!$H$6,0)</f>
        <v>0</v>
      </c>
      <c r="Z72" s="217">
        <f>IFERROR(Z16/Dashboard_1!$H$6,0)</f>
        <v>0</v>
      </c>
      <c r="AA72" s="217">
        <f>IFERROR(AA16/Dashboard_1!$H$6,0)</f>
        <v>0</v>
      </c>
      <c r="AB72" s="217">
        <f>IFERROR(AB16/Dashboard_1!$H$6,0)</f>
        <v>0</v>
      </c>
      <c r="AC72" s="217">
        <f>IFERROR(AC16/Dashboard_1!$H$6,0)</f>
        <v>0</v>
      </c>
      <c r="AD72" s="217">
        <f>IFERROR(AD16/Dashboard_1!$H$6,0)</f>
        <v>0</v>
      </c>
      <c r="AE72" s="217">
        <f>IFERROR(AE16/Dashboard_1!$H$6,0)</f>
        <v>0</v>
      </c>
      <c r="AF72" s="217">
        <f>IFERROR(AF16/Dashboard_1!$H$6,0)</f>
        <v>0</v>
      </c>
      <c r="AG72" s="217">
        <f>IFERROR(AG16/Dashboard_1!$H$6,0)</f>
        <v>0</v>
      </c>
      <c r="AH72" s="217">
        <f>IFERROR(AH16/Dashboard_1!$H$6,0)</f>
        <v>0</v>
      </c>
      <c r="AI72" s="217">
        <f>IFERROR(AI16/Dashboard_1!$H$6,0)</f>
        <v>0</v>
      </c>
      <c r="AJ72" s="217">
        <f>IFERROR(AJ16/Dashboard_1!$H$6,0)</f>
        <v>0</v>
      </c>
      <c r="AK72" s="217">
        <f>IFERROR(AK16/Dashboard_1!$H$6,0)</f>
        <v>0</v>
      </c>
      <c r="AL72" s="217">
        <f>IFERROR(AL16/Dashboard_1!$H$6,0)</f>
        <v>0</v>
      </c>
      <c r="AM72" s="217">
        <f>IFERROR(AM16/Dashboard_1!$H$6,0)</f>
        <v>0</v>
      </c>
      <c r="AN72" s="217">
        <f>IFERROR(AN16/Dashboard_1!$H$6,0)</f>
        <v>0</v>
      </c>
      <c r="AO72" s="217">
        <f>IFERROR(AO16/Dashboard_1!$H$6,0)</f>
        <v>0</v>
      </c>
      <c r="AP72" s="217">
        <f>IFERROR(AP16/Dashboard_1!$H$6,0)</f>
        <v>0</v>
      </c>
      <c r="AQ72" s="217">
        <f>IFERROR(AQ16/Dashboard_1!$H$6,0)</f>
        <v>0</v>
      </c>
      <c r="AR72" s="217">
        <f>IFERROR(AR16/Dashboard_1!$H$6,0)</f>
        <v>0</v>
      </c>
      <c r="AS72" s="217">
        <f>IFERROR(AS16/Dashboard_1!$H$6,0)</f>
        <v>0</v>
      </c>
      <c r="AT72" s="217">
        <f>IFERROR(AT16/Dashboard_1!$H$6,0)</f>
        <v>0</v>
      </c>
      <c r="AU72" s="217">
        <f>IFERROR(AU16/Dashboard_1!$H$6,0)</f>
        <v>0</v>
      </c>
      <c r="AV72" s="217">
        <f>IFERROR(AV16/Dashboard_1!$H$6,0)</f>
        <v>0</v>
      </c>
      <c r="AW72" s="217">
        <f>IFERROR(AW16/Dashboard_1!$H$6,0)</f>
        <v>0</v>
      </c>
      <c r="AX72" s="217">
        <f>IFERROR(AX16/Dashboard_1!$H$6,0)</f>
        <v>0</v>
      </c>
      <c r="AY72" s="217">
        <f>IFERROR(AY16/Dashboard_1!$H$6,0)</f>
        <v>0</v>
      </c>
      <c r="AZ72" s="180"/>
      <c r="BA72" s="180"/>
    </row>
    <row r="73" spans="1:53" x14ac:dyDescent="0.45">
      <c r="A73" s="41" t="str">
        <f t="shared" si="2"/>
        <v>Watering costs</v>
      </c>
      <c r="B73" s="217">
        <f>IFERROR(B17/Dashboard_1!$H$6,0)</f>
        <v>48</v>
      </c>
      <c r="C73" s="217">
        <f>IFERROR(C17/Dashboard_1!$H$6,0)</f>
        <v>64.400000000000006</v>
      </c>
      <c r="D73" s="217">
        <f>IFERROR(D17/Dashboard_1!$H$6,0)</f>
        <v>81.209999999999994</v>
      </c>
      <c r="E73" s="217">
        <f>IFERROR(E17/Dashboard_1!$H$6,0)</f>
        <v>98.440249999999992</v>
      </c>
      <c r="F73" s="217">
        <f>IFERROR(F17/Dashboard_1!$H$6,0)</f>
        <v>116.10125624999999</v>
      </c>
      <c r="G73" s="217">
        <f>IFERROR(G17/Dashboard_1!$H$6,0)</f>
        <v>134.20378765625</v>
      </c>
      <c r="H73" s="217">
        <f>IFERROR(H17/Dashboard_1!$H$6,0)</f>
        <v>152.75888234765623</v>
      </c>
      <c r="I73" s="217">
        <f>IFERROR(I17/Dashboard_1!$H$6,0)</f>
        <v>171.77785440634764</v>
      </c>
      <c r="J73" s="217">
        <f>IFERROR(J17/Dashboard_1!$H$6,0)</f>
        <v>191.27230076650633</v>
      </c>
      <c r="K73" s="217">
        <f>IFERROR(K17/Dashboard_1!$H$6,0)</f>
        <v>211.25410828566899</v>
      </c>
      <c r="L73" s="217">
        <f>IFERROR(L17/Dashboard_1!$H$6,0)</f>
        <v>231.73546099281069</v>
      </c>
      <c r="M73" s="217">
        <f>IFERROR(M17/Dashboard_1!$H$6,0)</f>
        <v>252.72884751763095</v>
      </c>
      <c r="N73" s="217">
        <f>IFERROR(N17/Dashboard_1!$H$6,0)</f>
        <v>274.24706870557173</v>
      </c>
      <c r="O73" s="217">
        <f>IFERROR(O17/Dashboard_1!$H$6,0)</f>
        <v>296.30324542321102</v>
      </c>
      <c r="P73" s="217">
        <f>IFERROR(P17/Dashboard_1!$H$6,0)</f>
        <v>318.91082655879126</v>
      </c>
      <c r="Q73" s="217">
        <f>IFERROR(Q17/Dashboard_1!$H$6,0)</f>
        <v>342.083597222761</v>
      </c>
      <c r="R73" s="217">
        <f>IFERROR(R17/Dashboard_1!$H$6,0)</f>
        <v>365.83568715333001</v>
      </c>
      <c r="S73" s="217">
        <f>IFERROR(S17/Dashboard_1!$H$6,0)</f>
        <v>390.18157933216321</v>
      </c>
      <c r="T73" s="217">
        <f>IFERROR(T17/Dashboard_1!$H$6,0)</f>
        <v>415.13611881546728</v>
      </c>
      <c r="U73" s="217">
        <f>IFERROR(U17/Dashboard_1!$H$6,0)</f>
        <v>440.71452178585395</v>
      </c>
      <c r="V73" s="217">
        <f>IFERROR(V17/Dashboard_1!$H$6,0)</f>
        <v>466.93238483050021</v>
      </c>
      <c r="W73" s="217">
        <f>IFERROR(W17/Dashboard_1!$H$6,0)</f>
        <v>493.8056944512627</v>
      </c>
      <c r="X73" s="217">
        <f>IFERROR(X17/Dashboard_1!$H$6,0)</f>
        <v>521.35083681254423</v>
      </c>
      <c r="Y73" s="217">
        <f>IFERROR(Y17/Dashboard_1!$H$6,0)</f>
        <v>549.58460773285788</v>
      </c>
      <c r="Z73" s="217">
        <f>IFERROR(Z17/Dashboard_1!$H$6,0)</f>
        <v>578.52422292617928</v>
      </c>
      <c r="AA73" s="217">
        <f>IFERROR(AA17/Dashboard_1!$H$6,0)</f>
        <v>608.18732849933372</v>
      </c>
      <c r="AB73" s="217">
        <f>IFERROR(AB17/Dashboard_1!$H$6,0)</f>
        <v>638.59201171181701</v>
      </c>
      <c r="AC73" s="217">
        <f>IFERROR(AC17/Dashboard_1!$H$6,0)</f>
        <v>669.75681200461247</v>
      </c>
      <c r="AD73" s="217">
        <f>IFERROR(AD17/Dashboard_1!$H$6,0)</f>
        <v>701.70073230472769</v>
      </c>
      <c r="AE73" s="217">
        <f>IFERROR(AE17/Dashboard_1!$H$6,0)</f>
        <v>734.44325061234588</v>
      </c>
      <c r="AF73" s="217">
        <f>IFERROR(AF17/Dashboard_1!$H$6,0)</f>
        <v>768.00433187765452</v>
      </c>
      <c r="AG73" s="217">
        <f>IFERROR(AG17/Dashboard_1!$H$6,0)</f>
        <v>802.40444017459583</v>
      </c>
      <c r="AH73" s="217">
        <f>IFERROR(AH17/Dashboard_1!$H$6,0)</f>
        <v>837.66455117896066</v>
      </c>
      <c r="AI73" s="217">
        <f>IFERROR(AI17/Dashboard_1!$H$6,0)</f>
        <v>873.80616495843469</v>
      </c>
      <c r="AJ73" s="217">
        <f>IFERROR(AJ17/Dashboard_1!$H$6,0)</f>
        <v>910.85131908239555</v>
      </c>
      <c r="AK73" s="217">
        <f>IFERROR(AK17/Dashboard_1!$H$6,0)</f>
        <v>948.82260205945533</v>
      </c>
      <c r="AL73" s="217">
        <f>IFERROR(AL17/Dashboard_1!$H$6,0)</f>
        <v>987.74316711094173</v>
      </c>
      <c r="AM73" s="217">
        <f>IFERROR(AM17/Dashboard_1!$H$6,0)</f>
        <v>1027.6367462887151</v>
      </c>
      <c r="AN73" s="217">
        <f>IFERROR(AN17/Dashboard_1!$H$6,0)</f>
        <v>1068.5276649459331</v>
      </c>
      <c r="AO73" s="217">
        <f>IFERROR(AO17/Dashboard_1!$H$6,0)</f>
        <v>1110.4408565695815</v>
      </c>
      <c r="AP73" s="217">
        <f>IFERROR(AP17/Dashboard_1!$H$6,0)</f>
        <v>1153.4018779838209</v>
      </c>
      <c r="AQ73" s="217">
        <f>IFERROR(AQ17/Dashboard_1!$H$6,0)</f>
        <v>1197.4369249334163</v>
      </c>
      <c r="AR73" s="217">
        <f>IFERROR(AR17/Dashboard_1!$H$6,0)</f>
        <v>1242.5728480567516</v>
      </c>
      <c r="AS73" s="217">
        <f>IFERROR(AS17/Dashboard_1!$H$6,0)</f>
        <v>1288.8371692581704</v>
      </c>
      <c r="AT73" s="217">
        <f>IFERROR(AT17/Dashboard_1!$H$6,0)</f>
        <v>1336.2580984896247</v>
      </c>
      <c r="AU73" s="217">
        <f>IFERROR(AU17/Dashboard_1!$H$6,0)</f>
        <v>1384.8645509518651</v>
      </c>
      <c r="AV73" s="217">
        <f>IFERROR(AV17/Dashboard_1!$H$6,0)</f>
        <v>1434.6861647256615</v>
      </c>
      <c r="AW73" s="217">
        <f>IFERROR(AW17/Dashboard_1!$H$6,0)</f>
        <v>1485.7533188438028</v>
      </c>
      <c r="AX73" s="217">
        <f>IFERROR(AX17/Dashboard_1!$H$6,0)</f>
        <v>1538.0971518148979</v>
      </c>
      <c r="AY73" s="217">
        <f>IFERROR(AY17/Dashboard_1!$H$6,0)</f>
        <v>1591.7495806102702</v>
      </c>
      <c r="AZ73" s="180"/>
      <c r="BA73" s="180"/>
    </row>
    <row r="74" spans="1:53" x14ac:dyDescent="0.45">
      <c r="A74" s="41" t="str">
        <f t="shared" si="2"/>
        <v>Maintenance</v>
      </c>
      <c r="B74" s="217">
        <f>IFERROR(B18/Dashboard_1!$H$6,0)</f>
        <v>236.42666666666668</v>
      </c>
      <c r="C74" s="217">
        <f>IFERROR(C18/Dashboard_1!$H$6,0)</f>
        <v>300.38666666666666</v>
      </c>
      <c r="D74" s="217">
        <f>IFERROR(D18/Dashboard_1!$H$6,0)</f>
        <v>349.55591666666669</v>
      </c>
      <c r="E74" s="217">
        <f>IFERROR(E18/Dashboard_1!$H$6,0)</f>
        <v>399.95439791666666</v>
      </c>
      <c r="F74" s="217">
        <f>IFERROR(F18/Dashboard_1!$H$6,0)</f>
        <v>451.61284119791662</v>
      </c>
      <c r="G74" s="217">
        <f>IFERROR(G18/Dashboard_1!$H$6,0)</f>
        <v>504.56274556119786</v>
      </c>
      <c r="H74" s="217">
        <f>IFERROR(H18/Dashboard_1!$H$6,0)</f>
        <v>558.83639753356113</v>
      </c>
      <c r="I74" s="217">
        <f>IFERROR(I18/Dashboard_1!$H$6,0)</f>
        <v>614.46689080523345</v>
      </c>
      <c r="J74" s="217">
        <f>IFERROR(J18/Dashboard_1!$H$6,0)</f>
        <v>671.4881464086975</v>
      </c>
      <c r="K74" s="217">
        <f>IFERROR(K18/Dashboard_1!$H$6,0)</f>
        <v>729.93493340224825</v>
      </c>
      <c r="L74" s="217">
        <f>IFERROR(L18/Dashboard_1!$H$6,0)</f>
        <v>789.84289007063785</v>
      </c>
      <c r="M74" s="217">
        <f>IFERROR(M18/Dashboard_1!$H$6,0)</f>
        <v>851.24854565573708</v>
      </c>
      <c r="N74" s="217">
        <f>IFERROR(N18/Dashboard_1!$H$6,0)</f>
        <v>914.18934263046378</v>
      </c>
      <c r="O74" s="217">
        <f>IFERROR(O18/Dashboard_1!$H$6,0)</f>
        <v>978.70365952955865</v>
      </c>
      <c r="P74" s="217">
        <f>IFERROR(P18/Dashboard_1!$H$6,0)</f>
        <v>1044.830834351131</v>
      </c>
      <c r="Q74" s="217">
        <f>IFERROR(Q18/Dashboard_1!$H$6,0)</f>
        <v>1112.6111885432424</v>
      </c>
      <c r="R74" s="217">
        <f>IFERROR(R18/Dashboard_1!$H$6,0)</f>
        <v>1182.0860515901568</v>
      </c>
      <c r="S74" s="217">
        <f>IFERROR(S18/Dashboard_1!$H$6,0)</f>
        <v>1253.2977862132441</v>
      </c>
      <c r="T74" s="217">
        <f>IFERROR(T18/Dashboard_1!$H$6,0)</f>
        <v>1326.2898142019085</v>
      </c>
      <c r="U74" s="217">
        <f>IFERROR(U18/Dashboard_1!$H$6,0)</f>
        <v>1401.1066428902895</v>
      </c>
      <c r="V74" s="217">
        <f>IFERROR(V18/Dashboard_1!$H$6,0)</f>
        <v>1477.7938922958801</v>
      </c>
      <c r="W74" s="217">
        <f>IFERROR(W18/Dashboard_1!$H$6,0)</f>
        <v>1556.3983229366102</v>
      </c>
      <c r="X74" s="217">
        <f>IFERROR(X18/Dashboard_1!$H$6,0)</f>
        <v>1636.9678643433588</v>
      </c>
      <c r="Y74" s="217">
        <f>IFERROR(Y18/Dashboard_1!$H$6,0)</f>
        <v>1719.5516442852759</v>
      </c>
      <c r="Z74" s="217">
        <f>IFERROR(Z18/Dashboard_1!$H$6,0)</f>
        <v>1804.2000187257408</v>
      </c>
      <c r="AA74" s="217">
        <f>IFERROR(AA18/Dashboard_1!$H$6,0)</f>
        <v>1890.9646025272177</v>
      </c>
      <c r="AB74" s="217">
        <f>IFERROR(AB18/Dashboard_1!$H$6,0)</f>
        <v>1979.8983009237313</v>
      </c>
      <c r="AC74" s="217">
        <f>IFERROR(AC18/Dashboard_1!$H$6,0)</f>
        <v>2071.055341780158</v>
      </c>
      <c r="AD74" s="217">
        <f>IFERROR(AD18/Dashboard_1!$H$6,0)</f>
        <v>2164.491308657995</v>
      </c>
      <c r="AE74" s="217">
        <f>IFERROR(AE18/Dashboard_1!$H$6,0)</f>
        <v>2260.263174707778</v>
      </c>
      <c r="AF74" s="217">
        <f>IFERROR(AF18/Dashboard_1!$H$6,0)</f>
        <v>2358.4293374088056</v>
      </c>
      <c r="AG74" s="217">
        <f>IFERROR(AG18/Dashboard_1!$H$6,0)</f>
        <v>2459.0496541773591</v>
      </c>
      <c r="AH74" s="217">
        <f>IFERROR(AH18/Dashboard_1!$H$6,0)</f>
        <v>2562.1854788651267</v>
      </c>
      <c r="AI74" s="217">
        <f>IFERROR(AI18/Dashboard_1!$H$6,0)</f>
        <v>2667.8996991700878</v>
      </c>
      <c r="AJ74" s="217">
        <f>IFERROR(AJ18/Dashboard_1!$H$6,0)</f>
        <v>2776.2567749826731</v>
      </c>
      <c r="AK74" s="217">
        <f>IFERROR(AK18/Dashboard_1!$H$6,0)</f>
        <v>2887.3227776905733</v>
      </c>
      <c r="AL74" s="217">
        <f>IFERROR(AL18/Dashboard_1!$H$6,0)</f>
        <v>3001.1654304661706</v>
      </c>
      <c r="AM74" s="217">
        <f>IFERROR(AM18/Dashboard_1!$H$6,0)</f>
        <v>3117.8541495611585</v>
      </c>
      <c r="AN74" s="217">
        <f>IFERROR(AN18/Dashboard_1!$H$6,0)</f>
        <v>3237.4600866335204</v>
      </c>
      <c r="AO74" s="217">
        <f>IFERROR(AO18/Dashboard_1!$H$6,0)</f>
        <v>3360.0561721326917</v>
      </c>
      <c r="AP74" s="217">
        <f>IFERROR(AP18/Dashboard_1!$H$6,0)</f>
        <v>3485.7171597693423</v>
      </c>
      <c r="AQ74" s="217">
        <f>IFERROR(AQ18/Dashboard_1!$H$6,0)</f>
        <v>3614.5196720969088</v>
      </c>
      <c r="AR74" s="217">
        <f>IFERROR(AR18/Dashboard_1!$H$6,0)</f>
        <v>3746.542247232665</v>
      </c>
      <c r="AS74" s="217">
        <f>IFERROR(AS18/Dashboard_1!$H$6,0)</f>
        <v>3881.8653867468147</v>
      </c>
      <c r="AT74" s="217">
        <f>IFERROR(AT18/Dashboard_1!$H$6,0)</f>
        <v>4020.5716047488181</v>
      </c>
      <c r="AU74" s="217">
        <f>IFERROR(AU18/Dashboard_1!$H$6,0)</f>
        <v>4162.7454782008717</v>
      </c>
      <c r="AV74" s="217">
        <f>IFERROR(AV18/Dashboard_1!$H$6,0)</f>
        <v>4308.4736984892261</v>
      </c>
      <c r="AW74" s="217">
        <f>IFERROR(AW18/Dashboard_1!$H$6,0)</f>
        <v>4457.8451242847905</v>
      </c>
      <c r="AX74" s="217">
        <f>IFERROR(AX18/Dashboard_1!$H$6,0)</f>
        <v>4610.9508357252435</v>
      </c>
      <c r="AY74" s="217">
        <f>IFERROR(AY18/Dashboard_1!$H$6,0)</f>
        <v>4767.8841899517074</v>
      </c>
      <c r="AZ74" s="180"/>
      <c r="BA74" s="180"/>
    </row>
    <row r="75" spans="1:53" x14ac:dyDescent="0.45">
      <c r="A75" s="41" t="str">
        <f t="shared" si="2"/>
        <v>Arborist tree health inspection ($)</v>
      </c>
      <c r="B75" s="217">
        <f>IFERROR(B19/Dashboard_1!$H$6,0)</f>
        <v>5</v>
      </c>
      <c r="C75" s="217">
        <f>IFERROR(C19/Dashboard_1!$H$6,0)</f>
        <v>10.125</v>
      </c>
      <c r="D75" s="217">
        <f>IFERROR(D19/Dashboard_1!$H$6,0)</f>
        <v>15.378125000000001</v>
      </c>
      <c r="E75" s="217">
        <f>IFERROR(E19/Dashboard_1!$H$6,0)</f>
        <v>20.762578125000001</v>
      </c>
      <c r="F75" s="217">
        <f>IFERROR(F19/Dashboard_1!$H$6,0)</f>
        <v>26.281642578124998</v>
      </c>
      <c r="G75" s="217">
        <f>IFERROR(G19/Dashboard_1!$H$6,0)</f>
        <v>31.93868364257812</v>
      </c>
      <c r="H75" s="217">
        <f>IFERROR(H19/Dashboard_1!$H$6,0)</f>
        <v>37.737150733642572</v>
      </c>
      <c r="I75" s="217">
        <f>IFERROR(I19/Dashboard_1!$H$6,0)</f>
        <v>43.680579501983637</v>
      </c>
      <c r="J75" s="217">
        <f>IFERROR(J19/Dashboard_1!$H$6,0)</f>
        <v>49.772593989533227</v>
      </c>
      <c r="K75" s="217">
        <f>IFERROR(K19/Dashboard_1!$H$6,0)</f>
        <v>56.016908839271558</v>
      </c>
      <c r="L75" s="217">
        <f>IFERROR(L19/Dashboard_1!$H$6,0)</f>
        <v>62.417331560253345</v>
      </c>
      <c r="M75" s="217">
        <f>IFERROR(M19/Dashboard_1!$H$6,0)</f>
        <v>68.977764849259671</v>
      </c>
      <c r="N75" s="217">
        <f>IFERROR(N19/Dashboard_1!$H$6,0)</f>
        <v>75.702208970491171</v>
      </c>
      <c r="O75" s="217">
        <f>IFERROR(O19/Dashboard_1!$H$6,0)</f>
        <v>82.594764194753438</v>
      </c>
      <c r="P75" s="217">
        <f>IFERROR(P19/Dashboard_1!$H$6,0)</f>
        <v>89.659633299622271</v>
      </c>
      <c r="Q75" s="217">
        <f>IFERROR(Q19/Dashboard_1!$H$6,0)</f>
        <v>96.901124132112813</v>
      </c>
      <c r="R75" s="217">
        <f>IFERROR(R19/Dashboard_1!$H$6,0)</f>
        <v>104.32365223541564</v>
      </c>
      <c r="S75" s="217">
        <f>IFERROR(S19/Dashboard_1!$H$6,0)</f>
        <v>111.93174354130102</v>
      </c>
      <c r="T75" s="217">
        <f>IFERROR(T19/Dashboard_1!$H$6,0)</f>
        <v>119.73003712983355</v>
      </c>
      <c r="U75" s="217">
        <f>IFERROR(U19/Dashboard_1!$H$6,0)</f>
        <v>127.72328805807938</v>
      </c>
      <c r="V75" s="217">
        <f>IFERROR(V19/Dashboard_1!$H$6,0)</f>
        <v>135.91637025953136</v>
      </c>
      <c r="W75" s="217">
        <f>IFERROR(W19/Dashboard_1!$H$6,0)</f>
        <v>144.31427951601964</v>
      </c>
      <c r="X75" s="217">
        <f>IFERROR(X19/Dashboard_1!$H$6,0)</f>
        <v>152.92213650392011</v>
      </c>
      <c r="Y75" s="217">
        <f>IFERROR(Y19/Dashboard_1!$H$6,0)</f>
        <v>161.74518991651811</v>
      </c>
      <c r="Z75" s="217">
        <f>IFERROR(Z19/Dashboard_1!$H$6,0)</f>
        <v>170.78881966443106</v>
      </c>
      <c r="AA75" s="217">
        <f>IFERROR(AA19/Dashboard_1!$H$6,0)</f>
        <v>180.05854015604183</v>
      </c>
      <c r="AB75" s="217">
        <f>IFERROR(AB19/Dashboard_1!$H$6,0)</f>
        <v>189.56000365994285</v>
      </c>
      <c r="AC75" s="217">
        <f>IFERROR(AC19/Dashboard_1!$H$6,0)</f>
        <v>199.2990037514414</v>
      </c>
      <c r="AD75" s="217">
        <f>IFERROR(AD19/Dashboard_1!$H$6,0)</f>
        <v>209.28147884522744</v>
      </c>
      <c r="AE75" s="217">
        <f>IFERROR(AE19/Dashboard_1!$H$6,0)</f>
        <v>219.51351581635811</v>
      </c>
      <c r="AF75" s="217">
        <f>IFERROR(AF19/Dashboard_1!$H$6,0)</f>
        <v>230.00135371176708</v>
      </c>
      <c r="AG75" s="217">
        <f>IFERROR(AG19/Dashboard_1!$H$6,0)</f>
        <v>240.75138755456126</v>
      </c>
      <c r="AH75" s="217">
        <f>IFERROR(AH19/Dashboard_1!$H$6,0)</f>
        <v>251.77017224342529</v>
      </c>
      <c r="AI75" s="217">
        <f>IFERROR(AI19/Dashboard_1!$H$6,0)</f>
        <v>263.06442654951093</v>
      </c>
      <c r="AJ75" s="217">
        <f>IFERROR(AJ19/Dashboard_1!$H$6,0)</f>
        <v>274.64103721324869</v>
      </c>
      <c r="AK75" s="217">
        <f>IFERROR(AK19/Dashboard_1!$H$6,0)</f>
        <v>286.5070631435799</v>
      </c>
      <c r="AL75" s="217">
        <f>IFERROR(AL19/Dashboard_1!$H$6,0)</f>
        <v>298.66973972216937</v>
      </c>
      <c r="AM75" s="217">
        <f>IFERROR(AM19/Dashboard_1!$H$6,0)</f>
        <v>311.13648321522356</v>
      </c>
      <c r="AN75" s="217">
        <f>IFERROR(AN19/Dashboard_1!$H$6,0)</f>
        <v>323.91489529560414</v>
      </c>
      <c r="AO75" s="217">
        <f>IFERROR(AO19/Dashboard_1!$H$6,0)</f>
        <v>337.01276767799419</v>
      </c>
      <c r="AP75" s="217">
        <f>IFERROR(AP19/Dashboard_1!$H$6,0)</f>
        <v>350.43808686994402</v>
      </c>
      <c r="AQ75" s="217">
        <f>IFERROR(AQ19/Dashboard_1!$H$6,0)</f>
        <v>364.19903904169257</v>
      </c>
      <c r="AR75" s="217">
        <f>IFERROR(AR19/Dashboard_1!$H$6,0)</f>
        <v>378.30401501773486</v>
      </c>
      <c r="AS75" s="217">
        <f>IFERROR(AS19/Dashboard_1!$H$6,0)</f>
        <v>392.7616153931782</v>
      </c>
      <c r="AT75" s="217">
        <f>IFERROR(AT19/Dashboard_1!$H$6,0)</f>
        <v>407.58065577800767</v>
      </c>
      <c r="AU75" s="217">
        <f>IFERROR(AU19/Dashboard_1!$H$6,0)</f>
        <v>422.77017217245782</v>
      </c>
      <c r="AV75" s="217">
        <f>IFERROR(AV19/Dashboard_1!$H$6,0)</f>
        <v>438.33942647676923</v>
      </c>
      <c r="AW75" s="217">
        <f>IFERROR(AW19/Dashboard_1!$H$6,0)</f>
        <v>454.29791213868839</v>
      </c>
      <c r="AX75" s="217">
        <f>IFERROR(AX19/Dashboard_1!$H$6,0)</f>
        <v>470.65535994215566</v>
      </c>
      <c r="AY75" s="217">
        <f>IFERROR(AY19/Dashboard_1!$H$6,0)</f>
        <v>487.42174394070952</v>
      </c>
      <c r="AZ75" s="180"/>
      <c r="BA75" s="180"/>
    </row>
    <row r="76" spans="1:53" x14ac:dyDescent="0.45">
      <c r="A76" s="41" t="str">
        <f t="shared" si="2"/>
        <v>Visual tree inspection ($)</v>
      </c>
      <c r="B76" s="217">
        <f>IFERROR(B20/Dashboard_1!$H$6,0)</f>
        <v>3</v>
      </c>
      <c r="C76" s="217">
        <f>IFERROR(C20/Dashboard_1!$H$6,0)</f>
        <v>6.0750000000000002</v>
      </c>
      <c r="D76" s="217">
        <f>IFERROR(D20/Dashboard_1!$H$6,0)</f>
        <v>9.2268749999999997</v>
      </c>
      <c r="E76" s="217">
        <f>IFERROR(E20/Dashboard_1!$H$6,0)</f>
        <v>12.457546875</v>
      </c>
      <c r="F76" s="217">
        <f>IFERROR(F20/Dashboard_1!$H$6,0)</f>
        <v>15.768985546875001</v>
      </c>
      <c r="G76" s="217">
        <f>IFERROR(G20/Dashboard_1!$H$6,0)</f>
        <v>19.163210185546873</v>
      </c>
      <c r="H76" s="217">
        <f>IFERROR(H20/Dashboard_1!$H$6,0)</f>
        <v>22.642290440185544</v>
      </c>
      <c r="I76" s="217">
        <f>IFERROR(I20/Dashboard_1!$H$6,0)</f>
        <v>26.208347701190181</v>
      </c>
      <c r="J76" s="217">
        <f>IFERROR(J20/Dashboard_1!$H$6,0)</f>
        <v>29.863556393719936</v>
      </c>
      <c r="K76" s="217">
        <f>IFERROR(K20/Dashboard_1!$H$6,0)</f>
        <v>33.610145303562931</v>
      </c>
      <c r="L76" s="217">
        <f>IFERROR(L20/Dashboard_1!$H$6,0)</f>
        <v>37.450398936151998</v>
      </c>
      <c r="M76" s="217">
        <f>IFERROR(M20/Dashboard_1!$H$6,0)</f>
        <v>41.386658909555798</v>
      </c>
      <c r="N76" s="217">
        <f>IFERROR(N20/Dashboard_1!$H$6,0)</f>
        <v>45.42132538229469</v>
      </c>
      <c r="O76" s="217">
        <f>IFERROR(O20/Dashboard_1!$H$6,0)</f>
        <v>49.556858516852053</v>
      </c>
      <c r="P76" s="217">
        <f>IFERROR(P20/Dashboard_1!$H$6,0)</f>
        <v>53.79577997977335</v>
      </c>
      <c r="Q76" s="217">
        <f>IFERROR(Q20/Dashboard_1!$H$6,0)</f>
        <v>58.14067447926768</v>
      </c>
      <c r="R76" s="217">
        <f>IFERROR(R20/Dashboard_1!$H$6,0)</f>
        <v>62.59419134124937</v>
      </c>
      <c r="S76" s="217">
        <f>IFERROR(S20/Dashboard_1!$H$6,0)</f>
        <v>67.159046124780602</v>
      </c>
      <c r="T76" s="217">
        <f>IFERROR(T20/Dashboard_1!$H$6,0)</f>
        <v>71.838022277900109</v>
      </c>
      <c r="U76" s="217">
        <f>IFERROR(U20/Dashboard_1!$H$6,0)</f>
        <v>76.633972834847611</v>
      </c>
      <c r="V76" s="217">
        <f>IFERROR(V20/Dashboard_1!$H$6,0)</f>
        <v>81.5498221557188</v>
      </c>
      <c r="W76" s="217">
        <f>IFERROR(W20/Dashboard_1!$H$6,0)</f>
        <v>86.588567709611766</v>
      </c>
      <c r="X76" s="217">
        <f>IFERROR(X20/Dashboard_1!$H$6,0)</f>
        <v>91.753281902352043</v>
      </c>
      <c r="Y76" s="217">
        <f>IFERROR(Y20/Dashboard_1!$H$6,0)</f>
        <v>97.047113949910838</v>
      </c>
      <c r="Z76" s="217">
        <f>IFERROR(Z20/Dashboard_1!$H$6,0)</f>
        <v>102.47329179865861</v>
      </c>
      <c r="AA76" s="217">
        <f>IFERROR(AA20/Dashboard_1!$H$6,0)</f>
        <v>108.03512409362507</v>
      </c>
      <c r="AB76" s="217">
        <f>IFERROR(AB20/Dashboard_1!$H$6,0)</f>
        <v>113.7360021959657</v>
      </c>
      <c r="AC76" s="217">
        <f>IFERROR(AC20/Dashboard_1!$H$6,0)</f>
        <v>119.57940225086485</v>
      </c>
      <c r="AD76" s="217">
        <f>IFERROR(AD20/Dashboard_1!$H$6,0)</f>
        <v>125.56888730713646</v>
      </c>
      <c r="AE76" s="217">
        <f>IFERROR(AE20/Dashboard_1!$H$6,0)</f>
        <v>131.70810948981486</v>
      </c>
      <c r="AF76" s="217">
        <f>IFERROR(AF20/Dashboard_1!$H$6,0)</f>
        <v>138.00081222706024</v>
      </c>
      <c r="AG76" s="217">
        <f>IFERROR(AG20/Dashboard_1!$H$6,0)</f>
        <v>144.45083253273674</v>
      </c>
      <c r="AH76" s="217">
        <f>IFERROR(AH20/Dashboard_1!$H$6,0)</f>
        <v>151.06210334605512</v>
      </c>
      <c r="AI76" s="217">
        <f>IFERROR(AI20/Dashboard_1!$H$6,0)</f>
        <v>157.8386559297065</v>
      </c>
      <c r="AJ76" s="217">
        <f>IFERROR(AJ20/Dashboard_1!$H$6,0)</f>
        <v>164.78462232794919</v>
      </c>
      <c r="AK76" s="217">
        <f>IFERROR(AK20/Dashboard_1!$H$6,0)</f>
        <v>171.90423788614788</v>
      </c>
      <c r="AL76" s="217">
        <f>IFERROR(AL20/Dashboard_1!$H$6,0)</f>
        <v>179.20184383330158</v>
      </c>
      <c r="AM76" s="217">
        <f>IFERROR(AM20/Dashboard_1!$H$6,0)</f>
        <v>186.68188992913409</v>
      </c>
      <c r="AN76" s="217">
        <f>IFERROR(AN20/Dashboard_1!$H$6,0)</f>
        <v>194.34893717736242</v>
      </c>
      <c r="AO76" s="217">
        <f>IFERROR(AO20/Dashboard_1!$H$6,0)</f>
        <v>202.20766060679648</v>
      </c>
      <c r="AP76" s="217">
        <f>IFERROR(AP20/Dashboard_1!$H$6,0)</f>
        <v>210.26285212196638</v>
      </c>
      <c r="AQ76" s="217">
        <f>IFERROR(AQ20/Dashboard_1!$H$6,0)</f>
        <v>218.51942342501553</v>
      </c>
      <c r="AR76" s="217">
        <f>IFERROR(AR20/Dashboard_1!$H$6,0)</f>
        <v>226.98240901064091</v>
      </c>
      <c r="AS76" s="217">
        <f>IFERROR(AS20/Dashboard_1!$H$6,0)</f>
        <v>235.6569692359069</v>
      </c>
      <c r="AT76" s="217">
        <f>IFERROR(AT20/Dashboard_1!$H$6,0)</f>
        <v>244.54839346680455</v>
      </c>
      <c r="AU76" s="217">
        <f>IFERROR(AU20/Dashboard_1!$H$6,0)</f>
        <v>253.66210330347465</v>
      </c>
      <c r="AV76" s="217">
        <f>IFERROR(AV20/Dashboard_1!$H$6,0)</f>
        <v>263.00365588606149</v>
      </c>
      <c r="AW76" s="217">
        <f>IFERROR(AW20/Dashboard_1!$H$6,0)</f>
        <v>272.57874728321303</v>
      </c>
      <c r="AX76" s="217">
        <f>IFERROR(AX20/Dashboard_1!$H$6,0)</f>
        <v>282.39321596529334</v>
      </c>
      <c r="AY76" s="217">
        <f>IFERROR(AY20/Dashboard_1!$H$6,0)</f>
        <v>292.45304636442563</v>
      </c>
      <c r="AZ76" s="180"/>
      <c r="BA76" s="180"/>
    </row>
    <row r="77" spans="1:53" x14ac:dyDescent="0.45">
      <c r="A77" s="41" t="str">
        <f t="shared" si="2"/>
        <v>GIS mapping and inventory assessment ($)</v>
      </c>
      <c r="B77" s="217">
        <f>IFERROR(B21/Dashboard_1!$H$6,0)</f>
        <v>2.4</v>
      </c>
      <c r="C77" s="217">
        <f>IFERROR(C21/Dashboard_1!$H$6,0)</f>
        <v>2.4</v>
      </c>
      <c r="D77" s="217">
        <f>IFERROR(D21/Dashboard_1!$H$6,0)</f>
        <v>2.4</v>
      </c>
      <c r="E77" s="217">
        <f>IFERROR(E21/Dashboard_1!$H$6,0)</f>
        <v>2.4</v>
      </c>
      <c r="F77" s="217">
        <f>IFERROR(F21/Dashboard_1!$H$6,0)</f>
        <v>2.4</v>
      </c>
      <c r="G77" s="217">
        <f>IFERROR(G21/Dashboard_1!$H$6,0)</f>
        <v>2.4</v>
      </c>
      <c r="H77" s="217">
        <f>IFERROR(H21/Dashboard_1!$H$6,0)</f>
        <v>2.4</v>
      </c>
      <c r="I77" s="217">
        <f>IFERROR(I21/Dashboard_1!$H$6,0)</f>
        <v>2.4</v>
      </c>
      <c r="J77" s="217">
        <f>IFERROR(J21/Dashboard_1!$H$6,0)</f>
        <v>2.4</v>
      </c>
      <c r="K77" s="217">
        <f>IFERROR(K21/Dashboard_1!$H$6,0)</f>
        <v>2.4</v>
      </c>
      <c r="L77" s="217">
        <f>IFERROR(L21/Dashboard_1!$H$6,0)</f>
        <v>2.4</v>
      </c>
      <c r="M77" s="217">
        <f>IFERROR(M21/Dashboard_1!$H$6,0)</f>
        <v>2.4</v>
      </c>
      <c r="N77" s="217">
        <f>IFERROR(N21/Dashboard_1!$H$6,0)</f>
        <v>2.4</v>
      </c>
      <c r="O77" s="217">
        <f>IFERROR(O21/Dashboard_1!$H$6,0)</f>
        <v>2.4</v>
      </c>
      <c r="P77" s="217">
        <f>IFERROR(P21/Dashboard_1!$H$6,0)</f>
        <v>2.4</v>
      </c>
      <c r="Q77" s="217">
        <f>IFERROR(Q21/Dashboard_1!$H$6,0)</f>
        <v>2.4</v>
      </c>
      <c r="R77" s="217">
        <f>IFERROR(R21/Dashboard_1!$H$6,0)</f>
        <v>2.4</v>
      </c>
      <c r="S77" s="217">
        <f>IFERROR(S21/Dashboard_1!$H$6,0)</f>
        <v>2.4</v>
      </c>
      <c r="T77" s="217">
        <f>IFERROR(T21/Dashboard_1!$H$6,0)</f>
        <v>2.4</v>
      </c>
      <c r="U77" s="217">
        <f>IFERROR(U21/Dashboard_1!$H$6,0)</f>
        <v>2.4</v>
      </c>
      <c r="V77" s="217">
        <f>IFERROR(V21/Dashboard_1!$H$6,0)</f>
        <v>2.4</v>
      </c>
      <c r="W77" s="217">
        <f>IFERROR(W21/Dashboard_1!$H$6,0)</f>
        <v>2.4</v>
      </c>
      <c r="X77" s="217">
        <f>IFERROR(X21/Dashboard_1!$H$6,0)</f>
        <v>2.4</v>
      </c>
      <c r="Y77" s="217">
        <f>IFERROR(Y21/Dashboard_1!$H$6,0)</f>
        <v>2.4</v>
      </c>
      <c r="Z77" s="217">
        <f>IFERROR(Z21/Dashboard_1!$H$6,0)</f>
        <v>2.4</v>
      </c>
      <c r="AA77" s="217">
        <f>IFERROR(AA21/Dashboard_1!$H$6,0)</f>
        <v>2.4</v>
      </c>
      <c r="AB77" s="217">
        <f>IFERROR(AB21/Dashboard_1!$H$6,0)</f>
        <v>2.4</v>
      </c>
      <c r="AC77" s="217">
        <f>IFERROR(AC21/Dashboard_1!$H$6,0)</f>
        <v>2.4</v>
      </c>
      <c r="AD77" s="217">
        <f>IFERROR(AD21/Dashboard_1!$H$6,0)</f>
        <v>2.4</v>
      </c>
      <c r="AE77" s="217">
        <f>IFERROR(AE21/Dashboard_1!$H$6,0)</f>
        <v>2.4</v>
      </c>
      <c r="AF77" s="217">
        <f>IFERROR(AF21/Dashboard_1!$H$6,0)</f>
        <v>2.4</v>
      </c>
      <c r="AG77" s="217">
        <f>IFERROR(AG21/Dashboard_1!$H$6,0)</f>
        <v>2.4</v>
      </c>
      <c r="AH77" s="217">
        <f>IFERROR(AH21/Dashboard_1!$H$6,0)</f>
        <v>2.4</v>
      </c>
      <c r="AI77" s="217">
        <f>IFERROR(AI21/Dashboard_1!$H$6,0)</f>
        <v>2.4</v>
      </c>
      <c r="AJ77" s="217">
        <f>IFERROR(AJ21/Dashboard_1!$H$6,0)</f>
        <v>2.4</v>
      </c>
      <c r="AK77" s="217">
        <f>IFERROR(AK21/Dashboard_1!$H$6,0)</f>
        <v>2.4</v>
      </c>
      <c r="AL77" s="217">
        <f>IFERROR(AL21/Dashboard_1!$H$6,0)</f>
        <v>2.4</v>
      </c>
      <c r="AM77" s="217">
        <f>IFERROR(AM21/Dashboard_1!$H$6,0)</f>
        <v>2.4</v>
      </c>
      <c r="AN77" s="217">
        <f>IFERROR(AN21/Dashboard_1!$H$6,0)</f>
        <v>2.4</v>
      </c>
      <c r="AO77" s="217">
        <f>IFERROR(AO21/Dashboard_1!$H$6,0)</f>
        <v>2.4</v>
      </c>
      <c r="AP77" s="217">
        <f>IFERROR(AP21/Dashboard_1!$H$6,0)</f>
        <v>2.4</v>
      </c>
      <c r="AQ77" s="217">
        <f>IFERROR(AQ21/Dashboard_1!$H$6,0)</f>
        <v>2.4</v>
      </c>
      <c r="AR77" s="217">
        <f>IFERROR(AR21/Dashboard_1!$H$6,0)</f>
        <v>2.4</v>
      </c>
      <c r="AS77" s="217">
        <f>IFERROR(AS21/Dashboard_1!$H$6,0)</f>
        <v>2.4</v>
      </c>
      <c r="AT77" s="217">
        <f>IFERROR(AT21/Dashboard_1!$H$6,0)</f>
        <v>2.4</v>
      </c>
      <c r="AU77" s="217">
        <f>IFERROR(AU21/Dashboard_1!$H$6,0)</f>
        <v>2.4</v>
      </c>
      <c r="AV77" s="217">
        <f>IFERROR(AV21/Dashboard_1!$H$6,0)</f>
        <v>2.4</v>
      </c>
      <c r="AW77" s="217">
        <f>IFERROR(AW21/Dashboard_1!$H$6,0)</f>
        <v>2.4</v>
      </c>
      <c r="AX77" s="217">
        <f>IFERROR(AX21/Dashboard_1!$H$6,0)</f>
        <v>2.4</v>
      </c>
      <c r="AY77" s="217">
        <f>IFERROR(AY21/Dashboard_1!$H$6,0)</f>
        <v>2.4</v>
      </c>
      <c r="AZ77" s="180"/>
      <c r="BA77" s="180"/>
    </row>
    <row r="78" spans="1:53" x14ac:dyDescent="0.45">
      <c r="A78" s="41" t="str">
        <f t="shared" si="2"/>
        <v>User specified cost item 1 ($/tree in Year 1 only)</v>
      </c>
      <c r="B78" s="217">
        <f>IFERROR(B22/Dashboard_1!$H$6,0)</f>
        <v>0</v>
      </c>
      <c r="C78" s="217">
        <f>IFERROR(C22/Dashboard_1!$H$6,0)</f>
        <v>0</v>
      </c>
      <c r="D78" s="217">
        <f>IFERROR(D22/Dashboard_1!$H$6,0)</f>
        <v>0</v>
      </c>
      <c r="E78" s="217">
        <f>IFERROR(E22/Dashboard_1!$H$6,0)</f>
        <v>0</v>
      </c>
      <c r="F78" s="217">
        <f>IFERROR(F22/Dashboard_1!$H$6,0)</f>
        <v>0</v>
      </c>
      <c r="G78" s="217">
        <f>IFERROR(G22/Dashboard_1!$H$6,0)</f>
        <v>0</v>
      </c>
      <c r="H78" s="217">
        <f>IFERROR(H22/Dashboard_1!$H$6,0)</f>
        <v>0</v>
      </c>
      <c r="I78" s="217">
        <f>IFERROR(I22/Dashboard_1!$H$6,0)</f>
        <v>0</v>
      </c>
      <c r="J78" s="217">
        <f>IFERROR(J22/Dashboard_1!$H$6,0)</f>
        <v>0</v>
      </c>
      <c r="K78" s="217">
        <f>IFERROR(K22/Dashboard_1!$H$6,0)</f>
        <v>0</v>
      </c>
      <c r="L78" s="217">
        <f>IFERROR(L22/Dashboard_1!$H$6,0)</f>
        <v>0</v>
      </c>
      <c r="M78" s="217">
        <f>IFERROR(M22/Dashboard_1!$H$6,0)</f>
        <v>0</v>
      </c>
      <c r="N78" s="217">
        <f>IFERROR(N22/Dashboard_1!$H$6,0)</f>
        <v>0</v>
      </c>
      <c r="O78" s="217">
        <f>IFERROR(O22/Dashboard_1!$H$6,0)</f>
        <v>0</v>
      </c>
      <c r="P78" s="217">
        <f>IFERROR(P22/Dashboard_1!$H$6,0)</f>
        <v>0</v>
      </c>
      <c r="Q78" s="217">
        <f>IFERROR(Q22/Dashboard_1!$H$6,0)</f>
        <v>0</v>
      </c>
      <c r="R78" s="217">
        <f>IFERROR(R22/Dashboard_1!$H$6,0)</f>
        <v>0</v>
      </c>
      <c r="S78" s="217">
        <f>IFERROR(S22/Dashboard_1!$H$6,0)</f>
        <v>0</v>
      </c>
      <c r="T78" s="217">
        <f>IFERROR(T22/Dashboard_1!$H$6,0)</f>
        <v>0</v>
      </c>
      <c r="U78" s="217">
        <f>IFERROR(U22/Dashboard_1!$H$6,0)</f>
        <v>0</v>
      </c>
      <c r="V78" s="217">
        <f>IFERROR(V22/Dashboard_1!$H$6,0)</f>
        <v>0</v>
      </c>
      <c r="W78" s="217">
        <f>IFERROR(W22/Dashboard_1!$H$6,0)</f>
        <v>0</v>
      </c>
      <c r="X78" s="217">
        <f>IFERROR(X22/Dashboard_1!$H$6,0)</f>
        <v>0</v>
      </c>
      <c r="Y78" s="217">
        <f>IFERROR(Y22/Dashboard_1!$H$6,0)</f>
        <v>0</v>
      </c>
      <c r="Z78" s="217">
        <f>IFERROR(Z22/Dashboard_1!$H$6,0)</f>
        <v>0</v>
      </c>
      <c r="AA78" s="217">
        <f>IFERROR(AA22/Dashboard_1!$H$6,0)</f>
        <v>0</v>
      </c>
      <c r="AB78" s="217">
        <f>IFERROR(AB22/Dashboard_1!$H$6,0)</f>
        <v>0</v>
      </c>
      <c r="AC78" s="217">
        <f>IFERROR(AC22/Dashboard_1!$H$6,0)</f>
        <v>0</v>
      </c>
      <c r="AD78" s="217">
        <f>IFERROR(AD22/Dashboard_1!$H$6,0)</f>
        <v>0</v>
      </c>
      <c r="AE78" s="217">
        <f>IFERROR(AE22/Dashboard_1!$H$6,0)</f>
        <v>0</v>
      </c>
      <c r="AF78" s="217">
        <f>IFERROR(AF22/Dashboard_1!$H$6,0)</f>
        <v>0</v>
      </c>
      <c r="AG78" s="217">
        <f>IFERROR(AG22/Dashboard_1!$H$6,0)</f>
        <v>0</v>
      </c>
      <c r="AH78" s="217">
        <f>IFERROR(AH22/Dashboard_1!$H$6,0)</f>
        <v>0</v>
      </c>
      <c r="AI78" s="217">
        <f>IFERROR(AI22/Dashboard_1!$H$6,0)</f>
        <v>0</v>
      </c>
      <c r="AJ78" s="217">
        <f>IFERROR(AJ22/Dashboard_1!$H$6,0)</f>
        <v>0</v>
      </c>
      <c r="AK78" s="217">
        <f>IFERROR(AK22/Dashboard_1!$H$6,0)</f>
        <v>0</v>
      </c>
      <c r="AL78" s="217">
        <f>IFERROR(AL22/Dashboard_1!$H$6,0)</f>
        <v>0</v>
      </c>
      <c r="AM78" s="217">
        <f>IFERROR(AM22/Dashboard_1!$H$6,0)</f>
        <v>0</v>
      </c>
      <c r="AN78" s="217">
        <f>IFERROR(AN22/Dashboard_1!$H$6,0)</f>
        <v>0</v>
      </c>
      <c r="AO78" s="217">
        <f>IFERROR(AO22/Dashboard_1!$H$6,0)</f>
        <v>0</v>
      </c>
      <c r="AP78" s="217">
        <f>IFERROR(AP22/Dashboard_1!$H$6,0)</f>
        <v>0</v>
      </c>
      <c r="AQ78" s="217">
        <f>IFERROR(AQ22/Dashboard_1!$H$6,0)</f>
        <v>0</v>
      </c>
      <c r="AR78" s="217">
        <f>IFERROR(AR22/Dashboard_1!$H$6,0)</f>
        <v>0</v>
      </c>
      <c r="AS78" s="217">
        <f>IFERROR(AS22/Dashboard_1!$H$6,0)</f>
        <v>0</v>
      </c>
      <c r="AT78" s="217">
        <f>IFERROR(AT22/Dashboard_1!$H$6,0)</f>
        <v>0</v>
      </c>
      <c r="AU78" s="217">
        <f>IFERROR(AU22/Dashboard_1!$H$6,0)</f>
        <v>0</v>
      </c>
      <c r="AV78" s="217">
        <f>IFERROR(AV22/Dashboard_1!$H$6,0)</f>
        <v>0</v>
      </c>
      <c r="AW78" s="217">
        <f>IFERROR(AW22/Dashboard_1!$H$6,0)</f>
        <v>0</v>
      </c>
      <c r="AX78" s="217">
        <f>IFERROR(AX22/Dashboard_1!$H$6,0)</f>
        <v>0</v>
      </c>
      <c r="AY78" s="217">
        <f>IFERROR(AY22/Dashboard_1!$H$6,0)</f>
        <v>0</v>
      </c>
      <c r="AZ78" s="180"/>
      <c r="BA78" s="180"/>
    </row>
    <row r="79" spans="1:53" x14ac:dyDescent="0.45">
      <c r="A79" s="41" t="str">
        <f t="shared" si="2"/>
        <v>User specified cost item 2 ($/tree per annum up to year 2)</v>
      </c>
      <c r="B79" s="217">
        <f>IFERROR(B23/Dashboard_1!$H$6,0)</f>
        <v>0</v>
      </c>
      <c r="C79" s="217">
        <f>IFERROR(C23/Dashboard_1!$H$6,0)</f>
        <v>0</v>
      </c>
      <c r="D79" s="217">
        <f>IFERROR(D23/Dashboard_1!$H$6,0)</f>
        <v>0</v>
      </c>
      <c r="E79" s="217">
        <f>IFERROR(E23/Dashboard_1!$H$6,0)</f>
        <v>0</v>
      </c>
      <c r="F79" s="217">
        <f>IFERROR(F23/Dashboard_1!$H$6,0)</f>
        <v>0</v>
      </c>
      <c r="G79" s="217">
        <f>IFERROR(G23/Dashboard_1!$H$6,0)</f>
        <v>0</v>
      </c>
      <c r="H79" s="217">
        <f>IFERROR(H23/Dashboard_1!$H$6,0)</f>
        <v>0</v>
      </c>
      <c r="I79" s="217">
        <f>IFERROR(I23/Dashboard_1!$H$6,0)</f>
        <v>0</v>
      </c>
      <c r="J79" s="217">
        <f>IFERROR(J23/Dashboard_1!$H$6,0)</f>
        <v>0</v>
      </c>
      <c r="K79" s="217">
        <f>IFERROR(K23/Dashboard_1!$H$6,0)</f>
        <v>0</v>
      </c>
      <c r="L79" s="217">
        <f>IFERROR(L23/Dashboard_1!$H$6,0)</f>
        <v>0</v>
      </c>
      <c r="M79" s="217">
        <f>IFERROR(M23/Dashboard_1!$H$6,0)</f>
        <v>0</v>
      </c>
      <c r="N79" s="217">
        <f>IFERROR(N23/Dashboard_1!$H$6,0)</f>
        <v>0</v>
      </c>
      <c r="O79" s="217">
        <f>IFERROR(O23/Dashboard_1!$H$6,0)</f>
        <v>0</v>
      </c>
      <c r="P79" s="217">
        <f>IFERROR(P23/Dashboard_1!$H$6,0)</f>
        <v>0</v>
      </c>
      <c r="Q79" s="217">
        <f>IFERROR(Q23/Dashboard_1!$H$6,0)</f>
        <v>0</v>
      </c>
      <c r="R79" s="217">
        <f>IFERROR(R23/Dashboard_1!$H$6,0)</f>
        <v>0</v>
      </c>
      <c r="S79" s="217">
        <f>IFERROR(S23/Dashboard_1!$H$6,0)</f>
        <v>0</v>
      </c>
      <c r="T79" s="217">
        <f>IFERROR(T23/Dashboard_1!$H$6,0)</f>
        <v>0</v>
      </c>
      <c r="U79" s="217">
        <f>IFERROR(U23/Dashboard_1!$H$6,0)</f>
        <v>0</v>
      </c>
      <c r="V79" s="217">
        <f>IFERROR(V23/Dashboard_1!$H$6,0)</f>
        <v>0</v>
      </c>
      <c r="W79" s="217">
        <f>IFERROR(W23/Dashboard_1!$H$6,0)</f>
        <v>0</v>
      </c>
      <c r="X79" s="217">
        <f>IFERROR(X23/Dashboard_1!$H$6,0)</f>
        <v>0</v>
      </c>
      <c r="Y79" s="217">
        <f>IFERROR(Y23/Dashboard_1!$H$6,0)</f>
        <v>0</v>
      </c>
      <c r="Z79" s="217">
        <f>IFERROR(Z23/Dashboard_1!$H$6,0)</f>
        <v>0</v>
      </c>
      <c r="AA79" s="217">
        <f>IFERROR(AA23/Dashboard_1!$H$6,0)</f>
        <v>0</v>
      </c>
      <c r="AB79" s="217">
        <f>IFERROR(AB23/Dashboard_1!$H$6,0)</f>
        <v>0</v>
      </c>
      <c r="AC79" s="217">
        <f>IFERROR(AC23/Dashboard_1!$H$6,0)</f>
        <v>0</v>
      </c>
      <c r="AD79" s="217">
        <f>IFERROR(AD23/Dashboard_1!$H$6,0)</f>
        <v>0</v>
      </c>
      <c r="AE79" s="217">
        <f>IFERROR(AE23/Dashboard_1!$H$6,0)</f>
        <v>0</v>
      </c>
      <c r="AF79" s="217">
        <f>IFERROR(AF23/Dashboard_1!$H$6,0)</f>
        <v>0</v>
      </c>
      <c r="AG79" s="217">
        <f>IFERROR(AG23/Dashboard_1!$H$6,0)</f>
        <v>0</v>
      </c>
      <c r="AH79" s="217">
        <f>IFERROR(AH23/Dashboard_1!$H$6,0)</f>
        <v>0</v>
      </c>
      <c r="AI79" s="217">
        <f>IFERROR(AI23/Dashboard_1!$H$6,0)</f>
        <v>0</v>
      </c>
      <c r="AJ79" s="217">
        <f>IFERROR(AJ23/Dashboard_1!$H$6,0)</f>
        <v>0</v>
      </c>
      <c r="AK79" s="217">
        <f>IFERROR(AK23/Dashboard_1!$H$6,0)</f>
        <v>0</v>
      </c>
      <c r="AL79" s="217">
        <f>IFERROR(AL23/Dashboard_1!$H$6,0)</f>
        <v>0</v>
      </c>
      <c r="AM79" s="217">
        <f>IFERROR(AM23/Dashboard_1!$H$6,0)</f>
        <v>0</v>
      </c>
      <c r="AN79" s="217">
        <f>IFERROR(AN23/Dashboard_1!$H$6,0)</f>
        <v>0</v>
      </c>
      <c r="AO79" s="217">
        <f>IFERROR(AO23/Dashboard_1!$H$6,0)</f>
        <v>0</v>
      </c>
      <c r="AP79" s="217">
        <f>IFERROR(AP23/Dashboard_1!$H$6,0)</f>
        <v>0</v>
      </c>
      <c r="AQ79" s="217">
        <f>IFERROR(AQ23/Dashboard_1!$H$6,0)</f>
        <v>0</v>
      </c>
      <c r="AR79" s="217">
        <f>IFERROR(AR23/Dashboard_1!$H$6,0)</f>
        <v>0</v>
      </c>
      <c r="AS79" s="217">
        <f>IFERROR(AS23/Dashboard_1!$H$6,0)</f>
        <v>0</v>
      </c>
      <c r="AT79" s="217">
        <f>IFERROR(AT23/Dashboard_1!$H$6,0)</f>
        <v>0</v>
      </c>
      <c r="AU79" s="217">
        <f>IFERROR(AU23/Dashboard_1!$H$6,0)</f>
        <v>0</v>
      </c>
      <c r="AV79" s="217">
        <f>IFERROR(AV23/Dashboard_1!$H$6,0)</f>
        <v>0</v>
      </c>
      <c r="AW79" s="217">
        <f>IFERROR(AW23/Dashboard_1!$H$6,0)</f>
        <v>0</v>
      </c>
      <c r="AX79" s="217">
        <f>IFERROR(AX23/Dashboard_1!$H$6,0)</f>
        <v>0</v>
      </c>
      <c r="AY79" s="217">
        <f>IFERROR(AY23/Dashboard_1!$H$6,0)</f>
        <v>0</v>
      </c>
      <c r="AZ79" s="180"/>
      <c r="BA79" s="180"/>
    </row>
    <row r="80" spans="1:53" x14ac:dyDescent="0.45">
      <c r="A80" s="41" t="str">
        <f t="shared" si="2"/>
        <v>User specified cost item 3 ($/tree per annum)</v>
      </c>
      <c r="B80" s="217">
        <f>IFERROR(B24/Dashboard_1!$H$6,0)</f>
        <v>0</v>
      </c>
      <c r="C80" s="217">
        <f>IFERROR(C24/Dashboard_1!$H$6,0)</f>
        <v>0</v>
      </c>
      <c r="D80" s="217">
        <f>IFERROR(D24/Dashboard_1!$H$6,0)</f>
        <v>0</v>
      </c>
      <c r="E80" s="217">
        <f>IFERROR(E24/Dashboard_1!$H$6,0)</f>
        <v>0</v>
      </c>
      <c r="F80" s="217">
        <f>IFERROR(F24/Dashboard_1!$H$6,0)</f>
        <v>0</v>
      </c>
      <c r="G80" s="217">
        <f>IFERROR(G24/Dashboard_1!$H$6,0)</f>
        <v>0</v>
      </c>
      <c r="H80" s="217">
        <f>IFERROR(H24/Dashboard_1!$H$6,0)</f>
        <v>0</v>
      </c>
      <c r="I80" s="217">
        <f>IFERROR(I24/Dashboard_1!$H$6,0)</f>
        <v>0</v>
      </c>
      <c r="J80" s="217">
        <f>IFERROR(J24/Dashboard_1!$H$6,0)</f>
        <v>0</v>
      </c>
      <c r="K80" s="217">
        <f>IFERROR(K24/Dashboard_1!$H$6,0)</f>
        <v>0</v>
      </c>
      <c r="L80" s="217">
        <f>IFERROR(L24/Dashboard_1!$H$6,0)</f>
        <v>0</v>
      </c>
      <c r="M80" s="217">
        <f>IFERROR(M24/Dashboard_1!$H$6,0)</f>
        <v>0</v>
      </c>
      <c r="N80" s="217">
        <f>IFERROR(N24/Dashboard_1!$H$6,0)</f>
        <v>0</v>
      </c>
      <c r="O80" s="217">
        <f>IFERROR(O24/Dashboard_1!$H$6,0)</f>
        <v>0</v>
      </c>
      <c r="P80" s="217">
        <f>IFERROR(P24/Dashboard_1!$H$6,0)</f>
        <v>0</v>
      </c>
      <c r="Q80" s="217">
        <f>IFERROR(Q24/Dashboard_1!$H$6,0)</f>
        <v>0</v>
      </c>
      <c r="R80" s="217">
        <f>IFERROR(R24/Dashboard_1!$H$6,0)</f>
        <v>0</v>
      </c>
      <c r="S80" s="217">
        <f>IFERROR(S24/Dashboard_1!$H$6,0)</f>
        <v>0</v>
      </c>
      <c r="T80" s="217">
        <f>IFERROR(T24/Dashboard_1!$H$6,0)</f>
        <v>0</v>
      </c>
      <c r="U80" s="217">
        <f>IFERROR(U24/Dashboard_1!$H$6,0)</f>
        <v>0</v>
      </c>
      <c r="V80" s="217">
        <f>IFERROR(V24/Dashboard_1!$H$6,0)</f>
        <v>0</v>
      </c>
      <c r="W80" s="217">
        <f>IFERROR(W24/Dashboard_1!$H$6,0)</f>
        <v>0</v>
      </c>
      <c r="X80" s="217">
        <f>IFERROR(X24/Dashboard_1!$H$6,0)</f>
        <v>0</v>
      </c>
      <c r="Y80" s="217">
        <f>IFERROR(Y24/Dashboard_1!$H$6,0)</f>
        <v>0</v>
      </c>
      <c r="Z80" s="217">
        <f>IFERROR(Z24/Dashboard_1!$H$6,0)</f>
        <v>0</v>
      </c>
      <c r="AA80" s="217">
        <f>IFERROR(AA24/Dashboard_1!$H$6,0)</f>
        <v>0</v>
      </c>
      <c r="AB80" s="217">
        <f>IFERROR(AB24/Dashboard_1!$H$6,0)</f>
        <v>0</v>
      </c>
      <c r="AC80" s="217">
        <f>IFERROR(AC24/Dashboard_1!$H$6,0)</f>
        <v>0</v>
      </c>
      <c r="AD80" s="217">
        <f>IFERROR(AD24/Dashboard_1!$H$6,0)</f>
        <v>0</v>
      </c>
      <c r="AE80" s="217">
        <f>IFERROR(AE24/Dashboard_1!$H$6,0)</f>
        <v>0</v>
      </c>
      <c r="AF80" s="217">
        <f>IFERROR(AF24/Dashboard_1!$H$6,0)</f>
        <v>0</v>
      </c>
      <c r="AG80" s="217">
        <f>IFERROR(AG24/Dashboard_1!$H$6,0)</f>
        <v>0</v>
      </c>
      <c r="AH80" s="217">
        <f>IFERROR(AH24/Dashboard_1!$H$6,0)</f>
        <v>0</v>
      </c>
      <c r="AI80" s="217">
        <f>IFERROR(AI24/Dashboard_1!$H$6,0)</f>
        <v>0</v>
      </c>
      <c r="AJ80" s="217">
        <f>IFERROR(AJ24/Dashboard_1!$H$6,0)</f>
        <v>0</v>
      </c>
      <c r="AK80" s="217">
        <f>IFERROR(AK24/Dashboard_1!$H$6,0)</f>
        <v>0</v>
      </c>
      <c r="AL80" s="217">
        <f>IFERROR(AL24/Dashboard_1!$H$6,0)</f>
        <v>0</v>
      </c>
      <c r="AM80" s="217">
        <f>IFERROR(AM24/Dashboard_1!$H$6,0)</f>
        <v>0</v>
      </c>
      <c r="AN80" s="217">
        <f>IFERROR(AN24/Dashboard_1!$H$6,0)</f>
        <v>0</v>
      </c>
      <c r="AO80" s="217">
        <f>IFERROR(AO24/Dashboard_1!$H$6,0)</f>
        <v>0</v>
      </c>
      <c r="AP80" s="217">
        <f>IFERROR(AP24/Dashboard_1!$H$6,0)</f>
        <v>0</v>
      </c>
      <c r="AQ80" s="217">
        <f>IFERROR(AQ24/Dashboard_1!$H$6,0)</f>
        <v>0</v>
      </c>
      <c r="AR80" s="217">
        <f>IFERROR(AR24/Dashboard_1!$H$6,0)</f>
        <v>0</v>
      </c>
      <c r="AS80" s="217">
        <f>IFERROR(AS24/Dashboard_1!$H$6,0)</f>
        <v>0</v>
      </c>
      <c r="AT80" s="217">
        <f>IFERROR(AT24/Dashboard_1!$H$6,0)</f>
        <v>0</v>
      </c>
      <c r="AU80" s="217">
        <f>IFERROR(AU24/Dashboard_1!$H$6,0)</f>
        <v>0</v>
      </c>
      <c r="AV80" s="217">
        <f>IFERROR(AV24/Dashboard_1!$H$6,0)</f>
        <v>0</v>
      </c>
      <c r="AW80" s="217">
        <f>IFERROR(AW24/Dashboard_1!$H$6,0)</f>
        <v>0</v>
      </c>
      <c r="AX80" s="217">
        <f>IFERROR(AX24/Dashboard_1!$H$6,0)</f>
        <v>0</v>
      </c>
      <c r="AY80" s="217">
        <f>IFERROR(AY24/Dashboard_1!$H$6,0)</f>
        <v>0</v>
      </c>
      <c r="AZ80" s="180"/>
      <c r="BA80" s="180"/>
    </row>
    <row r="81" spans="1:53" x14ac:dyDescent="0.45">
      <c r="A81" s="41" t="str">
        <f t="shared" si="2"/>
        <v>User specified cost item 4 ($/tree per annum)</v>
      </c>
      <c r="B81" s="217">
        <f>IFERROR(B25/Dashboard_1!$H$6,0)</f>
        <v>0</v>
      </c>
      <c r="C81" s="217">
        <f>IFERROR(C25/Dashboard_1!$H$6,0)</f>
        <v>0</v>
      </c>
      <c r="D81" s="217">
        <f>IFERROR(D25/Dashboard_1!$H$6,0)</f>
        <v>0</v>
      </c>
      <c r="E81" s="217">
        <f>IFERROR(E25/Dashboard_1!$H$6,0)</f>
        <v>0</v>
      </c>
      <c r="F81" s="217">
        <f>IFERROR(F25/Dashboard_1!$H$6,0)</f>
        <v>0</v>
      </c>
      <c r="G81" s="217">
        <f>IFERROR(G25/Dashboard_1!$H$6,0)</f>
        <v>0</v>
      </c>
      <c r="H81" s="217">
        <f>IFERROR(H25/Dashboard_1!$H$6,0)</f>
        <v>0</v>
      </c>
      <c r="I81" s="217">
        <f>IFERROR(I25/Dashboard_1!$H$6,0)</f>
        <v>0</v>
      </c>
      <c r="J81" s="217">
        <f>IFERROR(J25/Dashboard_1!$H$6,0)</f>
        <v>0</v>
      </c>
      <c r="K81" s="217">
        <f>IFERROR(K25/Dashboard_1!$H$6,0)</f>
        <v>0</v>
      </c>
      <c r="L81" s="217">
        <f>IFERROR(L25/Dashboard_1!$H$6,0)</f>
        <v>0</v>
      </c>
      <c r="M81" s="217">
        <f>IFERROR(M25/Dashboard_1!$H$6,0)</f>
        <v>0</v>
      </c>
      <c r="N81" s="217">
        <f>IFERROR(N25/Dashboard_1!$H$6,0)</f>
        <v>0</v>
      </c>
      <c r="O81" s="217">
        <f>IFERROR(O25/Dashboard_1!$H$6,0)</f>
        <v>0</v>
      </c>
      <c r="P81" s="217">
        <f>IFERROR(P25/Dashboard_1!$H$6,0)</f>
        <v>0</v>
      </c>
      <c r="Q81" s="217">
        <f>IFERROR(Q25/Dashboard_1!$H$6,0)</f>
        <v>0</v>
      </c>
      <c r="R81" s="217">
        <f>IFERROR(R25/Dashboard_1!$H$6,0)</f>
        <v>0</v>
      </c>
      <c r="S81" s="217">
        <f>IFERROR(S25/Dashboard_1!$H$6,0)</f>
        <v>0</v>
      </c>
      <c r="T81" s="217">
        <f>IFERROR(T25/Dashboard_1!$H$6,0)</f>
        <v>0</v>
      </c>
      <c r="U81" s="217">
        <f>IFERROR(U25/Dashboard_1!$H$6,0)</f>
        <v>0</v>
      </c>
      <c r="V81" s="217">
        <f>IFERROR(V25/Dashboard_1!$H$6,0)</f>
        <v>0</v>
      </c>
      <c r="W81" s="217">
        <f>IFERROR(W25/Dashboard_1!$H$6,0)</f>
        <v>0</v>
      </c>
      <c r="X81" s="217">
        <f>IFERROR(X25/Dashboard_1!$H$6,0)</f>
        <v>0</v>
      </c>
      <c r="Y81" s="217">
        <f>IFERROR(Y25/Dashboard_1!$H$6,0)</f>
        <v>0</v>
      </c>
      <c r="Z81" s="217">
        <f>IFERROR(Z25/Dashboard_1!$H$6,0)</f>
        <v>0</v>
      </c>
      <c r="AA81" s="217">
        <f>IFERROR(AA25/Dashboard_1!$H$6,0)</f>
        <v>0</v>
      </c>
      <c r="AB81" s="217">
        <f>IFERROR(AB25/Dashboard_1!$H$6,0)</f>
        <v>0</v>
      </c>
      <c r="AC81" s="217">
        <f>IFERROR(AC25/Dashboard_1!$H$6,0)</f>
        <v>0</v>
      </c>
      <c r="AD81" s="217">
        <f>IFERROR(AD25/Dashboard_1!$H$6,0)</f>
        <v>0</v>
      </c>
      <c r="AE81" s="217">
        <f>IFERROR(AE25/Dashboard_1!$H$6,0)</f>
        <v>0</v>
      </c>
      <c r="AF81" s="217">
        <f>IFERROR(AF25/Dashboard_1!$H$6,0)</f>
        <v>0</v>
      </c>
      <c r="AG81" s="217">
        <f>IFERROR(AG25/Dashboard_1!$H$6,0)</f>
        <v>0</v>
      </c>
      <c r="AH81" s="217">
        <f>IFERROR(AH25/Dashboard_1!$H$6,0)</f>
        <v>0</v>
      </c>
      <c r="AI81" s="217">
        <f>IFERROR(AI25/Dashboard_1!$H$6,0)</f>
        <v>0</v>
      </c>
      <c r="AJ81" s="217">
        <f>IFERROR(AJ25/Dashboard_1!$H$6,0)</f>
        <v>0</v>
      </c>
      <c r="AK81" s="217">
        <f>IFERROR(AK25/Dashboard_1!$H$6,0)</f>
        <v>0</v>
      </c>
      <c r="AL81" s="217">
        <f>IFERROR(AL25/Dashboard_1!$H$6,0)</f>
        <v>0</v>
      </c>
      <c r="AM81" s="217">
        <f>IFERROR(AM25/Dashboard_1!$H$6,0)</f>
        <v>0</v>
      </c>
      <c r="AN81" s="217">
        <f>IFERROR(AN25/Dashboard_1!$H$6,0)</f>
        <v>0</v>
      </c>
      <c r="AO81" s="217">
        <f>IFERROR(AO25/Dashboard_1!$H$6,0)</f>
        <v>0</v>
      </c>
      <c r="AP81" s="217">
        <f>IFERROR(AP25/Dashboard_1!$H$6,0)</f>
        <v>0</v>
      </c>
      <c r="AQ81" s="217">
        <f>IFERROR(AQ25/Dashboard_1!$H$6,0)</f>
        <v>0</v>
      </c>
      <c r="AR81" s="217">
        <f>IFERROR(AR25/Dashboard_1!$H$6,0)</f>
        <v>0</v>
      </c>
      <c r="AS81" s="217">
        <f>IFERROR(AS25/Dashboard_1!$H$6,0)</f>
        <v>0</v>
      </c>
      <c r="AT81" s="217">
        <f>IFERROR(AT25/Dashboard_1!$H$6,0)</f>
        <v>0</v>
      </c>
      <c r="AU81" s="217">
        <f>IFERROR(AU25/Dashboard_1!$H$6,0)</f>
        <v>0</v>
      </c>
      <c r="AV81" s="217">
        <f>IFERROR(AV25/Dashboard_1!$H$6,0)</f>
        <v>0</v>
      </c>
      <c r="AW81" s="217">
        <f>IFERROR(AW25/Dashboard_1!$H$6,0)</f>
        <v>0</v>
      </c>
      <c r="AX81" s="217">
        <f>IFERROR(AX25/Dashboard_1!$H$6,0)</f>
        <v>0</v>
      </c>
      <c r="AY81" s="217">
        <f>IFERROR(AY25/Dashboard_1!$H$6,0)</f>
        <v>0</v>
      </c>
      <c r="AZ81" s="180"/>
      <c r="BA81" s="180"/>
    </row>
    <row r="82" spans="1:53" x14ac:dyDescent="0.45">
      <c r="A82" s="41" t="str">
        <f t="shared" si="2"/>
        <v>User specified cost item 5 ($/tree per annum)</v>
      </c>
      <c r="B82" s="217">
        <f>IFERROR(B26/Dashboard_1!$H$6,0)</f>
        <v>0</v>
      </c>
      <c r="C82" s="217">
        <f>IFERROR(C26/Dashboard_1!$H$6,0)</f>
        <v>0</v>
      </c>
      <c r="D82" s="217">
        <f>IFERROR(D26/Dashboard_1!$H$6,0)</f>
        <v>0</v>
      </c>
      <c r="E82" s="217">
        <f>IFERROR(E26/Dashboard_1!$H$6,0)</f>
        <v>0</v>
      </c>
      <c r="F82" s="217">
        <f>IFERROR(F26/Dashboard_1!$H$6,0)</f>
        <v>0</v>
      </c>
      <c r="G82" s="217">
        <f>IFERROR(G26/Dashboard_1!$H$6,0)</f>
        <v>0</v>
      </c>
      <c r="H82" s="217">
        <f>IFERROR(H26/Dashboard_1!$H$6,0)</f>
        <v>0</v>
      </c>
      <c r="I82" s="217">
        <f>IFERROR(I26/Dashboard_1!$H$6,0)</f>
        <v>0</v>
      </c>
      <c r="J82" s="217">
        <f>IFERROR(J26/Dashboard_1!$H$6,0)</f>
        <v>0</v>
      </c>
      <c r="K82" s="217">
        <f>IFERROR(K26/Dashboard_1!$H$6,0)</f>
        <v>0</v>
      </c>
      <c r="L82" s="217">
        <f>IFERROR(L26/Dashboard_1!$H$6,0)</f>
        <v>0</v>
      </c>
      <c r="M82" s="217">
        <f>IFERROR(M26/Dashboard_1!$H$6,0)</f>
        <v>0</v>
      </c>
      <c r="N82" s="217">
        <f>IFERROR(N26/Dashboard_1!$H$6,0)</f>
        <v>0</v>
      </c>
      <c r="O82" s="217">
        <f>IFERROR(O26/Dashboard_1!$H$6,0)</f>
        <v>0</v>
      </c>
      <c r="P82" s="217">
        <f>IFERROR(P26/Dashboard_1!$H$6,0)</f>
        <v>0</v>
      </c>
      <c r="Q82" s="217">
        <f>IFERROR(Q26/Dashboard_1!$H$6,0)</f>
        <v>0</v>
      </c>
      <c r="R82" s="217">
        <f>IFERROR(R26/Dashboard_1!$H$6,0)</f>
        <v>0</v>
      </c>
      <c r="S82" s="217">
        <f>IFERROR(S26/Dashboard_1!$H$6,0)</f>
        <v>0</v>
      </c>
      <c r="T82" s="217">
        <f>IFERROR(T26/Dashboard_1!$H$6,0)</f>
        <v>0</v>
      </c>
      <c r="U82" s="217">
        <f>IFERROR(U26/Dashboard_1!$H$6,0)</f>
        <v>0</v>
      </c>
      <c r="V82" s="217">
        <f>IFERROR(V26/Dashboard_1!$H$6,0)</f>
        <v>0</v>
      </c>
      <c r="W82" s="217">
        <f>IFERROR(W26/Dashboard_1!$H$6,0)</f>
        <v>0</v>
      </c>
      <c r="X82" s="217">
        <f>IFERROR(X26/Dashboard_1!$H$6,0)</f>
        <v>0</v>
      </c>
      <c r="Y82" s="217">
        <f>IFERROR(Y26/Dashboard_1!$H$6,0)</f>
        <v>0</v>
      </c>
      <c r="Z82" s="217">
        <f>IFERROR(Z26/Dashboard_1!$H$6,0)</f>
        <v>0</v>
      </c>
      <c r="AA82" s="217">
        <f>IFERROR(AA26/Dashboard_1!$H$6,0)</f>
        <v>0</v>
      </c>
      <c r="AB82" s="217">
        <f>IFERROR(AB26/Dashboard_1!$H$6,0)</f>
        <v>0</v>
      </c>
      <c r="AC82" s="217">
        <f>IFERROR(AC26/Dashboard_1!$H$6,0)</f>
        <v>0</v>
      </c>
      <c r="AD82" s="217">
        <f>IFERROR(AD26/Dashboard_1!$H$6,0)</f>
        <v>0</v>
      </c>
      <c r="AE82" s="217">
        <f>IFERROR(AE26/Dashboard_1!$H$6,0)</f>
        <v>0</v>
      </c>
      <c r="AF82" s="217">
        <f>IFERROR(AF26/Dashboard_1!$H$6,0)</f>
        <v>0</v>
      </c>
      <c r="AG82" s="217">
        <f>IFERROR(AG26/Dashboard_1!$H$6,0)</f>
        <v>0</v>
      </c>
      <c r="AH82" s="217">
        <f>IFERROR(AH26/Dashboard_1!$H$6,0)</f>
        <v>0</v>
      </c>
      <c r="AI82" s="217">
        <f>IFERROR(AI26/Dashboard_1!$H$6,0)</f>
        <v>0</v>
      </c>
      <c r="AJ82" s="217">
        <f>IFERROR(AJ26/Dashboard_1!$H$6,0)</f>
        <v>0</v>
      </c>
      <c r="AK82" s="217">
        <f>IFERROR(AK26/Dashboard_1!$H$6,0)</f>
        <v>0</v>
      </c>
      <c r="AL82" s="217">
        <f>IFERROR(AL26/Dashboard_1!$H$6,0)</f>
        <v>0</v>
      </c>
      <c r="AM82" s="217">
        <f>IFERROR(AM26/Dashboard_1!$H$6,0)</f>
        <v>0</v>
      </c>
      <c r="AN82" s="217">
        <f>IFERROR(AN26/Dashboard_1!$H$6,0)</f>
        <v>0</v>
      </c>
      <c r="AO82" s="217">
        <f>IFERROR(AO26/Dashboard_1!$H$6,0)</f>
        <v>0</v>
      </c>
      <c r="AP82" s="217">
        <f>IFERROR(AP26/Dashboard_1!$H$6,0)</f>
        <v>0</v>
      </c>
      <c r="AQ82" s="217">
        <f>IFERROR(AQ26/Dashboard_1!$H$6,0)</f>
        <v>0</v>
      </c>
      <c r="AR82" s="217">
        <f>IFERROR(AR26/Dashboard_1!$H$6,0)</f>
        <v>0</v>
      </c>
      <c r="AS82" s="217">
        <f>IFERROR(AS26/Dashboard_1!$H$6,0)</f>
        <v>0</v>
      </c>
      <c r="AT82" s="217">
        <f>IFERROR(AT26/Dashboard_1!$H$6,0)</f>
        <v>0</v>
      </c>
      <c r="AU82" s="217">
        <f>IFERROR(AU26/Dashboard_1!$H$6,0)</f>
        <v>0</v>
      </c>
      <c r="AV82" s="217">
        <f>IFERROR(AV26/Dashboard_1!$H$6,0)</f>
        <v>0</v>
      </c>
      <c r="AW82" s="217">
        <f>IFERROR(AW26/Dashboard_1!$H$6,0)</f>
        <v>0</v>
      </c>
      <c r="AX82" s="217">
        <f>IFERROR(AX26/Dashboard_1!$H$6,0)</f>
        <v>0</v>
      </c>
      <c r="AY82" s="217">
        <f>IFERROR(AY26/Dashboard_1!$H$6,0)</f>
        <v>0</v>
      </c>
      <c r="AZ82" s="180"/>
      <c r="BA82" s="180"/>
    </row>
    <row r="83" spans="1:53" x14ac:dyDescent="0.45">
      <c r="A83" s="41" t="s">
        <v>298</v>
      </c>
      <c r="B83" s="217">
        <f>SUM(B61:B82)</f>
        <v>674.92423190448005</v>
      </c>
      <c r="C83" s="217">
        <f t="shared" ref="C83:AY83" si="3">SUM(C61:C82)</f>
        <v>763.48423190448011</v>
      </c>
      <c r="D83" s="217">
        <f t="shared" si="3"/>
        <v>837.86848190447995</v>
      </c>
      <c r="E83" s="217">
        <f t="shared" si="3"/>
        <v>914.11233815448008</v>
      </c>
      <c r="F83" s="217">
        <f t="shared" si="3"/>
        <v>992.26229081072995</v>
      </c>
      <c r="G83" s="217">
        <f t="shared" si="3"/>
        <v>1072.3659922833863</v>
      </c>
      <c r="H83" s="217">
        <f t="shared" si="3"/>
        <v>1154.4722862928586</v>
      </c>
      <c r="I83" s="217">
        <f t="shared" si="3"/>
        <v>1238.6312376525684</v>
      </c>
      <c r="J83" s="217">
        <f t="shared" si="3"/>
        <v>1324.8941627962706</v>
      </c>
      <c r="K83" s="217">
        <f t="shared" si="3"/>
        <v>1413.3136610685651</v>
      </c>
      <c r="L83" s="217">
        <f t="shared" si="3"/>
        <v>1503.9436467976675</v>
      </c>
      <c r="M83" s="217">
        <f t="shared" si="3"/>
        <v>1596.839382169997</v>
      </c>
      <c r="N83" s="217">
        <f t="shared" si="3"/>
        <v>1692.0575109266351</v>
      </c>
      <c r="O83" s="217">
        <f t="shared" si="3"/>
        <v>1789.6560929021887</v>
      </c>
      <c r="P83" s="217">
        <f t="shared" si="3"/>
        <v>1889.6946394271315</v>
      </c>
      <c r="Q83" s="217">
        <f t="shared" si="3"/>
        <v>1992.2341496151973</v>
      </c>
      <c r="R83" s="217">
        <f t="shared" si="3"/>
        <v>2097.3371475579656</v>
      </c>
      <c r="S83" s="217">
        <f t="shared" si="3"/>
        <v>2205.0677204493022</v>
      </c>
      <c r="T83" s="217">
        <f t="shared" si="3"/>
        <v>2315.4915576629228</v>
      </c>
      <c r="U83" s="217">
        <f t="shared" si="3"/>
        <v>2428.6759908068839</v>
      </c>
      <c r="V83" s="217">
        <f t="shared" si="3"/>
        <v>2544.690034779444</v>
      </c>
      <c r="W83" s="217">
        <f t="shared" si="3"/>
        <v>2663.6044298513175</v>
      </c>
      <c r="X83" s="217">
        <f t="shared" si="3"/>
        <v>2785.4916847999889</v>
      </c>
      <c r="Y83" s="217">
        <f t="shared" si="3"/>
        <v>2910.4261211223761</v>
      </c>
      <c r="Z83" s="217">
        <f t="shared" si="3"/>
        <v>3038.4839183528234</v>
      </c>
      <c r="AA83" s="217">
        <f t="shared" si="3"/>
        <v>3169.7431605140323</v>
      </c>
      <c r="AB83" s="217">
        <f t="shared" si="3"/>
        <v>3304.2838837292707</v>
      </c>
      <c r="AC83" s="217">
        <f t="shared" si="3"/>
        <v>3442.1881250248903</v>
      </c>
      <c r="AD83" s="217">
        <f t="shared" si="3"/>
        <v>3583.5399723528999</v>
      </c>
      <c r="AE83" s="217">
        <f t="shared" si="3"/>
        <v>3728.4256158641101</v>
      </c>
      <c r="AF83" s="217">
        <f t="shared" si="3"/>
        <v>3876.933400463101</v>
      </c>
      <c r="AG83" s="217">
        <f t="shared" si="3"/>
        <v>4029.1538796770669</v>
      </c>
      <c r="AH83" s="217">
        <f t="shared" si="3"/>
        <v>4185.1798708713804</v>
      </c>
      <c r="AI83" s="217">
        <f t="shared" si="3"/>
        <v>4345.1065118455535</v>
      </c>
      <c r="AJ83" s="217">
        <f t="shared" si="3"/>
        <v>4509.0313188440796</v>
      </c>
      <c r="AK83" s="217">
        <f t="shared" si="3"/>
        <v>4677.0542460175693</v>
      </c>
      <c r="AL83" s="217">
        <f t="shared" si="3"/>
        <v>4849.2777463703969</v>
      </c>
      <c r="AM83" s="217">
        <f t="shared" si="3"/>
        <v>5025.8068342320448</v>
      </c>
      <c r="AN83" s="217">
        <f t="shared" si="3"/>
        <v>5206.7491492902327</v>
      </c>
      <c r="AO83" s="217">
        <f t="shared" si="3"/>
        <v>5392.2150222248765</v>
      </c>
      <c r="AP83" s="217">
        <f t="shared" si="3"/>
        <v>5582.3175419828867</v>
      </c>
      <c r="AQ83" s="217">
        <f t="shared" si="3"/>
        <v>5777.1726247348461</v>
      </c>
      <c r="AR83" s="217">
        <f t="shared" si="3"/>
        <v>5976.8990845556054</v>
      </c>
      <c r="AS83" s="217">
        <f t="shared" si="3"/>
        <v>6181.6187058718842</v>
      </c>
      <c r="AT83" s="217">
        <f t="shared" si="3"/>
        <v>6391.4563177210684</v>
      </c>
      <c r="AU83" s="217">
        <f t="shared" si="3"/>
        <v>6606.5398698664821</v>
      </c>
      <c r="AV83" s="217">
        <f t="shared" si="3"/>
        <v>6827.000510815531</v>
      </c>
      <c r="AW83" s="217">
        <f t="shared" si="3"/>
        <v>7052.9726677883082</v>
      </c>
      <c r="AX83" s="217">
        <f t="shared" si="3"/>
        <v>7284.5941286854031</v>
      </c>
      <c r="AY83" s="217">
        <f t="shared" si="3"/>
        <v>7522.0061261049259</v>
      </c>
    </row>
    <row r="84" spans="1:53" x14ac:dyDescent="0.45">
      <c r="A84" s="41"/>
    </row>
    <row r="85" spans="1:53" x14ac:dyDescent="0.45">
      <c r="A85" s="41"/>
    </row>
    <row r="86" spans="1:53" x14ac:dyDescent="0.45">
      <c r="A86" s="41"/>
    </row>
    <row r="87" spans="1:53" x14ac:dyDescent="0.45">
      <c r="A87" s="41"/>
    </row>
    <row r="88" spans="1:53" x14ac:dyDescent="0.45">
      <c r="A88" s="41"/>
    </row>
    <row r="89" spans="1:53" x14ac:dyDescent="0.45">
      <c r="A89" s="41"/>
    </row>
    <row r="90" spans="1:53" x14ac:dyDescent="0.45">
      <c r="A90" s="41"/>
    </row>
    <row r="91" spans="1:53" x14ac:dyDescent="0.45"/>
    <row r="92" spans="1:53" x14ac:dyDescent="0.45"/>
    <row r="93" spans="1:53" x14ac:dyDescent="0.45"/>
    <row r="94" spans="1:53" x14ac:dyDescent="0.45"/>
    <row r="95" spans="1:53" x14ac:dyDescent="0.45"/>
    <row r="96" spans="1:53" x14ac:dyDescent="0.45"/>
    <row r="97" x14ac:dyDescent="0.45"/>
    <row r="98" x14ac:dyDescent="0.45"/>
    <row r="99" x14ac:dyDescent="0.45"/>
    <row r="100" x14ac:dyDescent="0.45"/>
    <row r="101" x14ac:dyDescent="0.45"/>
    <row r="102" x14ac:dyDescent="0.45"/>
    <row r="103" x14ac:dyDescent="0.45"/>
    <row r="104" x14ac:dyDescent="0.45"/>
    <row r="105" x14ac:dyDescent="0.45"/>
    <row r="106" x14ac:dyDescent="0.45"/>
    <row r="107" x14ac:dyDescent="0.45"/>
    <row r="108" x14ac:dyDescent="0.45"/>
    <row r="109" x14ac:dyDescent="0.45"/>
    <row r="110" x14ac:dyDescent="0.45"/>
    <row r="111" x14ac:dyDescent="0.45"/>
    <row r="112" x14ac:dyDescent="0.45"/>
    <row r="113" x14ac:dyDescent="0.4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222C-7605-41A4-AF15-8E9082689E6F}">
  <sheetPr published="0">
    <tabColor theme="6"/>
  </sheetPr>
  <dimension ref="A1:BB114"/>
  <sheetViews>
    <sheetView zoomScale="85" zoomScaleNormal="85" workbookViewId="0">
      <selection activeCell="A108" sqref="A108"/>
    </sheetView>
  </sheetViews>
  <sheetFormatPr defaultColWidth="0" defaultRowHeight="14.25" zeroHeight="1" x14ac:dyDescent="0.45"/>
  <cols>
    <col min="1" max="1" width="31.73046875" bestFit="1" customWidth="1"/>
    <col min="2" max="51" width="15.73046875" customWidth="1"/>
    <col min="52" max="52" width="9.1328125" customWidth="1"/>
    <col min="53" max="54" width="0" hidden="1" customWidth="1"/>
    <col min="55" max="16384" width="9.1328125" hidden="1"/>
  </cols>
  <sheetData>
    <row r="1" spans="1:54" x14ac:dyDescent="0.45">
      <c r="A1" t="s">
        <v>385</v>
      </c>
    </row>
    <row r="2" spans="1:54" x14ac:dyDescent="0.45"/>
    <row r="3" spans="1:54" x14ac:dyDescent="0.45">
      <c r="A3" s="45" t="s">
        <v>210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1:54" x14ac:dyDescent="0.45">
      <c r="B4" s="40" t="str">
        <f>Model_2!B56</f>
        <v>Year 1</v>
      </c>
      <c r="C4" s="40" t="str">
        <f>Model_2!C56</f>
        <v>Year 2</v>
      </c>
      <c r="D4" s="40" t="str">
        <f>Model_2!D56</f>
        <v>Year 3</v>
      </c>
      <c r="E4" s="40" t="str">
        <f>Model_2!E56</f>
        <v>Year 4</v>
      </c>
      <c r="F4" s="40" t="str">
        <f>Model_2!F56</f>
        <v>Year 5</v>
      </c>
      <c r="G4" s="40" t="str">
        <f>Model_2!G56</f>
        <v>Year 6</v>
      </c>
      <c r="H4" s="40" t="str">
        <f>Model_2!H56</f>
        <v>Year 7</v>
      </c>
      <c r="I4" s="40" t="str">
        <f>Model_2!I56</f>
        <v>Year 8</v>
      </c>
      <c r="J4" s="40" t="str">
        <f>Model_2!J56</f>
        <v>Year 9</v>
      </c>
      <c r="K4" s="40" t="str">
        <f>Model_2!K56</f>
        <v>Year 10</v>
      </c>
      <c r="L4" s="40" t="str">
        <f>Model_2!L56</f>
        <v>Year 11</v>
      </c>
      <c r="M4" s="40" t="str">
        <f>Model_2!M56</f>
        <v>Year 12</v>
      </c>
      <c r="N4" s="40" t="str">
        <f>Model_2!N56</f>
        <v>Year 13</v>
      </c>
      <c r="O4" s="40" t="str">
        <f>Model_2!O56</f>
        <v>Year 14</v>
      </c>
      <c r="P4" s="40" t="str">
        <f>Model_2!P56</f>
        <v>Year 15</v>
      </c>
      <c r="Q4" s="40" t="str">
        <f>Model_2!Q56</f>
        <v>Year 16</v>
      </c>
      <c r="R4" s="40" t="str">
        <f>Model_2!R56</f>
        <v>Year 17</v>
      </c>
      <c r="S4" s="40" t="str">
        <f>Model_2!S56</f>
        <v>Year 18</v>
      </c>
      <c r="T4" s="40" t="str">
        <f>Model_2!T56</f>
        <v>Year 19</v>
      </c>
      <c r="U4" s="40" t="str">
        <f>Model_2!U56</f>
        <v>Year 20</v>
      </c>
      <c r="V4" s="40" t="str">
        <f>Model_2!V56</f>
        <v>Year 21</v>
      </c>
      <c r="W4" s="40" t="str">
        <f>Model_2!W56</f>
        <v>Year 22</v>
      </c>
      <c r="X4" s="40" t="str">
        <f>Model_2!X56</f>
        <v>Year 23</v>
      </c>
      <c r="Y4" s="40" t="str">
        <f>Model_2!Y56</f>
        <v>Year 24</v>
      </c>
      <c r="Z4" s="40" t="str">
        <f>Model_2!Z56</f>
        <v>Year 25</v>
      </c>
      <c r="AA4" s="40" t="str">
        <f>Model_2!AA56</f>
        <v>Year 26</v>
      </c>
      <c r="AB4" s="40" t="str">
        <f>Model_2!AB56</f>
        <v>Year 27</v>
      </c>
      <c r="AC4" s="40" t="str">
        <f>Model_2!AC56</f>
        <v>Year 28</v>
      </c>
      <c r="AD4" s="40" t="str">
        <f>Model_2!AD56</f>
        <v>Year 29</v>
      </c>
      <c r="AE4" s="40" t="str">
        <f>Model_2!AE56</f>
        <v>Year 30</v>
      </c>
      <c r="AF4" s="40" t="str">
        <f>Model_2!AF56</f>
        <v>Year 31</v>
      </c>
      <c r="AG4" s="40" t="str">
        <f>Model_2!AG56</f>
        <v>Year 32</v>
      </c>
      <c r="AH4" s="40" t="str">
        <f>Model_2!AH56</f>
        <v>Year 33</v>
      </c>
      <c r="AI4" s="40" t="str">
        <f>Model_2!AI56</f>
        <v>Year 34</v>
      </c>
      <c r="AJ4" s="40" t="str">
        <f>Model_2!AJ56</f>
        <v>Year 35</v>
      </c>
      <c r="AK4" s="40" t="str">
        <f>Model_2!AK56</f>
        <v>Year 36</v>
      </c>
      <c r="AL4" s="40" t="str">
        <f>Model_2!AL56</f>
        <v>Year 37</v>
      </c>
      <c r="AM4" s="40" t="str">
        <f>Model_2!AM56</f>
        <v>Year 38</v>
      </c>
      <c r="AN4" s="40" t="str">
        <f>Model_2!AN56</f>
        <v>Year 39</v>
      </c>
      <c r="AO4" s="40" t="str">
        <f>Model_2!AO56</f>
        <v>Year 40</v>
      </c>
      <c r="AP4" s="40" t="str">
        <f>Model_2!AP56</f>
        <v>Year 41</v>
      </c>
      <c r="AQ4" s="40" t="str">
        <f>Model_2!AQ56</f>
        <v>Year 42</v>
      </c>
      <c r="AR4" s="40" t="str">
        <f>Model_2!AR56</f>
        <v>Year 43</v>
      </c>
      <c r="AS4" s="40" t="str">
        <f>Model_2!AS56</f>
        <v>Year 44</v>
      </c>
      <c r="AT4" s="40" t="str">
        <f>Model_2!AT56</f>
        <v>Year 45</v>
      </c>
      <c r="AU4" s="40" t="str">
        <f>Model_2!AU56</f>
        <v>Year 46</v>
      </c>
      <c r="AV4" s="40" t="str">
        <f>Model_2!AV56</f>
        <v>Year 47</v>
      </c>
      <c r="AW4" s="40" t="str">
        <f>Model_2!AW56</f>
        <v>Year 48</v>
      </c>
      <c r="AX4" s="40" t="str">
        <f>Model_2!AX56</f>
        <v>Year 49</v>
      </c>
      <c r="AY4" s="40" t="str">
        <f>Model_2!AY56</f>
        <v>Year 50</v>
      </c>
      <c r="AZ4" s="42"/>
      <c r="BA4" s="42"/>
      <c r="BB4" s="42"/>
    </row>
    <row r="5" spans="1:54" x14ac:dyDescent="0.45">
      <c r="A5" s="41" t="str">
        <f>Model_2!A57</f>
        <v>Concrete cutting ($)</v>
      </c>
      <c r="B5" s="41">
        <f>Model_2!B57</f>
        <v>0</v>
      </c>
      <c r="C5" s="41">
        <f>B5+Model_2!C57</f>
        <v>0</v>
      </c>
      <c r="D5" s="41">
        <f>C5+Model_2!D57</f>
        <v>0</v>
      </c>
      <c r="E5" s="41">
        <f>D5+Model_2!E57</f>
        <v>0</v>
      </c>
      <c r="F5" s="41">
        <f>E5+Model_2!F57</f>
        <v>0</v>
      </c>
      <c r="G5" s="41">
        <f>F5+Model_2!G57</f>
        <v>0</v>
      </c>
      <c r="H5" s="41">
        <f>G5+Model_2!H57</f>
        <v>0</v>
      </c>
      <c r="I5" s="41">
        <f>H5+Model_2!I57</f>
        <v>0</v>
      </c>
      <c r="J5" s="41">
        <f>I5+Model_2!J57</f>
        <v>0</v>
      </c>
      <c r="K5" s="41">
        <f>J5+Model_2!K57</f>
        <v>0</v>
      </c>
      <c r="L5" s="41">
        <f>K5+Model_2!L57</f>
        <v>0</v>
      </c>
      <c r="M5" s="41">
        <f>L5+Model_2!M57</f>
        <v>0</v>
      </c>
      <c r="N5" s="41">
        <f>M5+Model_2!N57</f>
        <v>0</v>
      </c>
      <c r="O5" s="41">
        <f>N5+Model_2!O57</f>
        <v>0</v>
      </c>
      <c r="P5" s="41">
        <f>O5+Model_2!P57</f>
        <v>0</v>
      </c>
      <c r="Q5" s="41">
        <f>P5+Model_2!Q57</f>
        <v>0</v>
      </c>
      <c r="R5" s="41">
        <f>Q5+Model_2!R57</f>
        <v>0</v>
      </c>
      <c r="S5" s="41">
        <f>R5+Model_2!S57</f>
        <v>0</v>
      </c>
      <c r="T5" s="41">
        <f>S5+Model_2!T57</f>
        <v>0</v>
      </c>
      <c r="U5" s="41">
        <f>T5+Model_2!U57</f>
        <v>0</v>
      </c>
      <c r="V5" s="41">
        <f>U5+Model_2!V57</f>
        <v>0</v>
      </c>
      <c r="W5" s="41">
        <f>V5+Model_2!W57</f>
        <v>0</v>
      </c>
      <c r="X5" s="41">
        <f>W5+Model_2!X57</f>
        <v>0</v>
      </c>
      <c r="Y5" s="41">
        <f>X5+Model_2!Y57</f>
        <v>0</v>
      </c>
      <c r="Z5" s="41">
        <f>Y5+Model_2!Z57</f>
        <v>0</v>
      </c>
      <c r="AA5" s="41">
        <f>Z5+Model_2!AA57</f>
        <v>0</v>
      </c>
      <c r="AB5" s="41">
        <f>AA5+Model_2!AB57</f>
        <v>0</v>
      </c>
      <c r="AC5" s="41">
        <f>AB5+Model_2!AC57</f>
        <v>0</v>
      </c>
      <c r="AD5" s="41">
        <f>AC5+Model_2!AD57</f>
        <v>0</v>
      </c>
      <c r="AE5" s="41">
        <f>AD5+Model_2!AE57</f>
        <v>0</v>
      </c>
      <c r="AF5" s="41">
        <f>AE5+Model_2!AF57</f>
        <v>0</v>
      </c>
      <c r="AG5" s="41">
        <f>AF5+Model_2!AG57</f>
        <v>0</v>
      </c>
      <c r="AH5" s="41">
        <f>AG5+Model_2!AH57</f>
        <v>0</v>
      </c>
      <c r="AI5" s="41">
        <f>AH5+Model_2!AI57</f>
        <v>0</v>
      </c>
      <c r="AJ5" s="41">
        <f>AI5+Model_2!AJ57</f>
        <v>0</v>
      </c>
      <c r="AK5" s="41">
        <f>AJ5+Model_2!AK57</f>
        <v>0</v>
      </c>
      <c r="AL5" s="41">
        <f>AK5+Model_2!AL57</f>
        <v>0</v>
      </c>
      <c r="AM5" s="41">
        <f>AL5+Model_2!AM57</f>
        <v>0</v>
      </c>
      <c r="AN5" s="41">
        <f>AM5+Model_2!AN57</f>
        <v>0</v>
      </c>
      <c r="AO5" s="41">
        <f>AN5+Model_2!AO57</f>
        <v>0</v>
      </c>
      <c r="AP5" s="41">
        <f>AO5+Model_2!AP57</f>
        <v>0</v>
      </c>
      <c r="AQ5" s="41">
        <f>AP5+Model_2!AQ57</f>
        <v>0</v>
      </c>
      <c r="AR5" s="41">
        <f>AQ5+Model_2!AR57</f>
        <v>0</v>
      </c>
      <c r="AS5" s="41">
        <f>AR5+Model_2!AS57</f>
        <v>0</v>
      </c>
      <c r="AT5" s="41">
        <f>AS5+Model_2!AT57</f>
        <v>0</v>
      </c>
      <c r="AU5" s="41">
        <f>AT5+Model_2!AU57</f>
        <v>0</v>
      </c>
      <c r="AV5" s="41">
        <f>AU5+Model_2!AV57</f>
        <v>0</v>
      </c>
      <c r="AW5" s="41">
        <f>AV5+Model_2!AW57</f>
        <v>0</v>
      </c>
      <c r="AX5" s="41">
        <f>AW5+Model_2!AX57</f>
        <v>0</v>
      </c>
      <c r="AY5" s="41">
        <f>AX5+Model_2!AY57</f>
        <v>0</v>
      </c>
      <c r="AZ5" s="41"/>
      <c r="BA5" s="41"/>
      <c r="BB5" s="41"/>
    </row>
    <row r="6" spans="1:54" x14ac:dyDescent="0.45">
      <c r="A6" s="41" t="str">
        <f>Model_2!A58</f>
        <v>Supply ($)</v>
      </c>
      <c r="B6" s="41">
        <f>Model_2!B58</f>
        <v>10511.544417659999</v>
      </c>
      <c r="C6" s="41">
        <f>B6+Model_2!C58</f>
        <v>10511.544417659999</v>
      </c>
      <c r="D6" s="41">
        <f>C6+Model_2!D58</f>
        <v>10511.544417659999</v>
      </c>
      <c r="E6" s="41">
        <f>D6+Model_2!E58</f>
        <v>10511.544417659999</v>
      </c>
      <c r="F6" s="41">
        <f>E6+Model_2!F58</f>
        <v>10511.544417659999</v>
      </c>
      <c r="G6" s="41">
        <f>F6+Model_2!G58</f>
        <v>10511.544417659999</v>
      </c>
      <c r="H6" s="41">
        <f>G6+Model_2!H58</f>
        <v>10511.544417659999</v>
      </c>
      <c r="I6" s="41">
        <f>H6+Model_2!I58</f>
        <v>10511.544417659999</v>
      </c>
      <c r="J6" s="41">
        <f>I6+Model_2!J58</f>
        <v>10511.544417659999</v>
      </c>
      <c r="K6" s="41">
        <f>J6+Model_2!K58</f>
        <v>10511.544417659999</v>
      </c>
      <c r="L6" s="41">
        <f>K6+Model_2!L58</f>
        <v>10511.544417659999</v>
      </c>
      <c r="M6" s="41">
        <f>L6+Model_2!M58</f>
        <v>10511.544417659999</v>
      </c>
      <c r="N6" s="41">
        <f>M6+Model_2!N58</f>
        <v>10511.544417659999</v>
      </c>
      <c r="O6" s="41">
        <f>N6+Model_2!O58</f>
        <v>10511.544417659999</v>
      </c>
      <c r="P6" s="41">
        <f>O6+Model_2!P58</f>
        <v>10511.544417659999</v>
      </c>
      <c r="Q6" s="41">
        <f>P6+Model_2!Q58</f>
        <v>10511.544417659999</v>
      </c>
      <c r="R6" s="41">
        <f>Q6+Model_2!R58</f>
        <v>10511.544417659999</v>
      </c>
      <c r="S6" s="41">
        <f>R6+Model_2!S58</f>
        <v>10511.544417659999</v>
      </c>
      <c r="T6" s="41">
        <f>S6+Model_2!T58</f>
        <v>10511.544417659999</v>
      </c>
      <c r="U6" s="41">
        <f>T6+Model_2!U58</f>
        <v>10511.544417659999</v>
      </c>
      <c r="V6" s="41">
        <f>U6+Model_2!V58</f>
        <v>10511.544417659999</v>
      </c>
      <c r="W6" s="41">
        <f>V6+Model_2!W58</f>
        <v>10511.544417659999</v>
      </c>
      <c r="X6" s="41">
        <f>W6+Model_2!X58</f>
        <v>10511.544417659999</v>
      </c>
      <c r="Y6" s="41">
        <f>X6+Model_2!Y58</f>
        <v>10511.544417659999</v>
      </c>
      <c r="Z6" s="41">
        <f>Y6+Model_2!Z58</f>
        <v>10511.544417659999</v>
      </c>
      <c r="AA6" s="41">
        <f>Z6+Model_2!AA58</f>
        <v>10511.544417659999</v>
      </c>
      <c r="AB6" s="41">
        <f>AA6+Model_2!AB58</f>
        <v>10511.544417659999</v>
      </c>
      <c r="AC6" s="41">
        <f>AB6+Model_2!AC58</f>
        <v>10511.544417659999</v>
      </c>
      <c r="AD6" s="41">
        <f>AC6+Model_2!AD58</f>
        <v>10511.544417659999</v>
      </c>
      <c r="AE6" s="41">
        <f>AD6+Model_2!AE58</f>
        <v>10511.544417659999</v>
      </c>
      <c r="AF6" s="41">
        <f>AE6+Model_2!AF58</f>
        <v>10511.544417659999</v>
      </c>
      <c r="AG6" s="41">
        <f>AF6+Model_2!AG58</f>
        <v>10511.544417659999</v>
      </c>
      <c r="AH6" s="41">
        <f>AG6+Model_2!AH58</f>
        <v>10511.544417659999</v>
      </c>
      <c r="AI6" s="41">
        <f>AH6+Model_2!AI58</f>
        <v>10511.544417659999</v>
      </c>
      <c r="AJ6" s="41">
        <f>AI6+Model_2!AJ58</f>
        <v>10511.544417659999</v>
      </c>
      <c r="AK6" s="41">
        <f>AJ6+Model_2!AK58</f>
        <v>10511.544417659999</v>
      </c>
      <c r="AL6" s="41">
        <f>AK6+Model_2!AL58</f>
        <v>10511.544417659999</v>
      </c>
      <c r="AM6" s="41">
        <f>AL6+Model_2!AM58</f>
        <v>10511.544417659999</v>
      </c>
      <c r="AN6" s="41">
        <f>AM6+Model_2!AN58</f>
        <v>10511.544417659999</v>
      </c>
      <c r="AO6" s="41">
        <f>AN6+Model_2!AO58</f>
        <v>10511.544417659999</v>
      </c>
      <c r="AP6" s="41">
        <f>AO6+Model_2!AP58</f>
        <v>10511.544417659999</v>
      </c>
      <c r="AQ6" s="41">
        <f>AP6+Model_2!AQ58</f>
        <v>10511.544417659999</v>
      </c>
      <c r="AR6" s="41">
        <f>AQ6+Model_2!AR58</f>
        <v>10511.544417659999</v>
      </c>
      <c r="AS6" s="41">
        <f>AR6+Model_2!AS58</f>
        <v>10511.544417659999</v>
      </c>
      <c r="AT6" s="41">
        <f>AS6+Model_2!AT58</f>
        <v>10511.544417659999</v>
      </c>
      <c r="AU6" s="41">
        <f>AT6+Model_2!AU58</f>
        <v>10511.544417659999</v>
      </c>
      <c r="AV6" s="41">
        <f>AU6+Model_2!AV58</f>
        <v>10511.544417659999</v>
      </c>
      <c r="AW6" s="41">
        <f>AV6+Model_2!AW58</f>
        <v>10511.544417659999</v>
      </c>
      <c r="AX6" s="41">
        <f>AW6+Model_2!AX58</f>
        <v>10511.544417659999</v>
      </c>
      <c r="AY6" s="41">
        <f>AX6+Model_2!AY58</f>
        <v>10511.544417659999</v>
      </c>
      <c r="AZ6" s="41"/>
      <c r="BA6" s="41"/>
      <c r="BB6" s="41"/>
    </row>
    <row r="7" spans="1:54" x14ac:dyDescent="0.45">
      <c r="A7" s="41" t="str">
        <f>Model_2!A59</f>
        <v>Tree installation ($)</v>
      </c>
      <c r="B7" s="41">
        <f>Model_2!B59</f>
        <v>0</v>
      </c>
      <c r="C7" s="41">
        <f>B7+Model_2!C59</f>
        <v>0</v>
      </c>
      <c r="D7" s="41">
        <f>C7+Model_2!D59</f>
        <v>0</v>
      </c>
      <c r="E7" s="41">
        <f>D7+Model_2!E59</f>
        <v>0</v>
      </c>
      <c r="F7" s="41">
        <f>E7+Model_2!F59</f>
        <v>0</v>
      </c>
      <c r="G7" s="41">
        <f>F7+Model_2!G59</f>
        <v>0</v>
      </c>
      <c r="H7" s="41">
        <f>G7+Model_2!H59</f>
        <v>0</v>
      </c>
      <c r="I7" s="41">
        <f>H7+Model_2!I59</f>
        <v>0</v>
      </c>
      <c r="J7" s="41">
        <f>I7+Model_2!J59</f>
        <v>0</v>
      </c>
      <c r="K7" s="41">
        <f>J7+Model_2!K59</f>
        <v>0</v>
      </c>
      <c r="L7" s="41">
        <f>K7+Model_2!L59</f>
        <v>0</v>
      </c>
      <c r="M7" s="41">
        <f>L7+Model_2!M59</f>
        <v>0</v>
      </c>
      <c r="N7" s="41">
        <f>M7+Model_2!N59</f>
        <v>0</v>
      </c>
      <c r="O7" s="41">
        <f>N7+Model_2!O59</f>
        <v>0</v>
      </c>
      <c r="P7" s="41">
        <f>O7+Model_2!P59</f>
        <v>0</v>
      </c>
      <c r="Q7" s="41">
        <f>P7+Model_2!Q59</f>
        <v>0</v>
      </c>
      <c r="R7" s="41">
        <f>Q7+Model_2!R59</f>
        <v>0</v>
      </c>
      <c r="S7" s="41">
        <f>R7+Model_2!S59</f>
        <v>0</v>
      </c>
      <c r="T7" s="41">
        <f>S7+Model_2!T59</f>
        <v>0</v>
      </c>
      <c r="U7" s="41">
        <f>T7+Model_2!U59</f>
        <v>0</v>
      </c>
      <c r="V7" s="41">
        <f>U7+Model_2!V59</f>
        <v>0</v>
      </c>
      <c r="W7" s="41">
        <f>V7+Model_2!W59</f>
        <v>0</v>
      </c>
      <c r="X7" s="41">
        <f>W7+Model_2!X59</f>
        <v>0</v>
      </c>
      <c r="Y7" s="41">
        <f>X7+Model_2!Y59</f>
        <v>0</v>
      </c>
      <c r="Z7" s="41">
        <f>Y7+Model_2!Z59</f>
        <v>0</v>
      </c>
      <c r="AA7" s="41">
        <f>Z7+Model_2!AA59</f>
        <v>0</v>
      </c>
      <c r="AB7" s="41">
        <f>AA7+Model_2!AB59</f>
        <v>0</v>
      </c>
      <c r="AC7" s="41">
        <f>AB7+Model_2!AC59</f>
        <v>0</v>
      </c>
      <c r="AD7" s="41">
        <f>AC7+Model_2!AD59</f>
        <v>0</v>
      </c>
      <c r="AE7" s="41">
        <f>AD7+Model_2!AE59</f>
        <v>0</v>
      </c>
      <c r="AF7" s="41">
        <f>AE7+Model_2!AF59</f>
        <v>0</v>
      </c>
      <c r="AG7" s="41">
        <f>AF7+Model_2!AG59</f>
        <v>0</v>
      </c>
      <c r="AH7" s="41">
        <f>AG7+Model_2!AH59</f>
        <v>0</v>
      </c>
      <c r="AI7" s="41">
        <f>AH7+Model_2!AI59</f>
        <v>0</v>
      </c>
      <c r="AJ7" s="41">
        <f>AI7+Model_2!AJ59</f>
        <v>0</v>
      </c>
      <c r="AK7" s="41">
        <f>AJ7+Model_2!AK59</f>
        <v>0</v>
      </c>
      <c r="AL7" s="41">
        <f>AK7+Model_2!AL59</f>
        <v>0</v>
      </c>
      <c r="AM7" s="41">
        <f>AL7+Model_2!AM59</f>
        <v>0</v>
      </c>
      <c r="AN7" s="41">
        <f>AM7+Model_2!AN59</f>
        <v>0</v>
      </c>
      <c r="AO7" s="41">
        <f>AN7+Model_2!AO59</f>
        <v>0</v>
      </c>
      <c r="AP7" s="41">
        <f>AO7+Model_2!AP59</f>
        <v>0</v>
      </c>
      <c r="AQ7" s="41">
        <f>AP7+Model_2!AQ59</f>
        <v>0</v>
      </c>
      <c r="AR7" s="41">
        <f>AQ7+Model_2!AR59</f>
        <v>0</v>
      </c>
      <c r="AS7" s="41">
        <f>AR7+Model_2!AS59</f>
        <v>0</v>
      </c>
      <c r="AT7" s="41">
        <f>AS7+Model_2!AT59</f>
        <v>0</v>
      </c>
      <c r="AU7" s="41">
        <f>AT7+Model_2!AU59</f>
        <v>0</v>
      </c>
      <c r="AV7" s="41">
        <f>AU7+Model_2!AV59</f>
        <v>0</v>
      </c>
      <c r="AW7" s="41">
        <f>AV7+Model_2!AW59</f>
        <v>0</v>
      </c>
      <c r="AX7" s="41">
        <f>AW7+Model_2!AX59</f>
        <v>0</v>
      </c>
      <c r="AY7" s="41">
        <f>AX7+Model_2!AY59</f>
        <v>0</v>
      </c>
      <c r="AZ7" s="41"/>
      <c r="BA7" s="41"/>
      <c r="BB7" s="41"/>
    </row>
    <row r="8" spans="1:54" x14ac:dyDescent="0.45">
      <c r="A8" s="41" t="str">
        <f>Model_2!A60</f>
        <v>Unbundled installation</v>
      </c>
      <c r="B8" s="41">
        <f>Model_2!B60</f>
        <v>2433.3333333333335</v>
      </c>
      <c r="C8" s="41">
        <f>B8+Model_2!C60</f>
        <v>2433.3333333333335</v>
      </c>
      <c r="D8" s="41">
        <f>C8+Model_2!D60</f>
        <v>2433.3333333333335</v>
      </c>
      <c r="E8" s="41">
        <f>D8+Model_2!E60</f>
        <v>2433.3333333333335</v>
      </c>
      <c r="F8" s="41">
        <f>E8+Model_2!F60</f>
        <v>2433.3333333333335</v>
      </c>
      <c r="G8" s="41">
        <f>F8+Model_2!G60</f>
        <v>2433.3333333333335</v>
      </c>
      <c r="H8" s="41">
        <f>G8+Model_2!H60</f>
        <v>2433.3333333333335</v>
      </c>
      <c r="I8" s="41">
        <f>H8+Model_2!I60</f>
        <v>2433.3333333333335</v>
      </c>
      <c r="J8" s="41">
        <f>I8+Model_2!J60</f>
        <v>2433.3333333333335</v>
      </c>
      <c r="K8" s="41">
        <f>J8+Model_2!K60</f>
        <v>2433.3333333333335</v>
      </c>
      <c r="L8" s="41">
        <f>K8+Model_2!L60</f>
        <v>2433.3333333333335</v>
      </c>
      <c r="M8" s="41">
        <f>L8+Model_2!M60</f>
        <v>2433.3333333333335</v>
      </c>
      <c r="N8" s="41">
        <f>M8+Model_2!N60</f>
        <v>2433.3333333333335</v>
      </c>
      <c r="O8" s="41">
        <f>N8+Model_2!O60</f>
        <v>2433.3333333333335</v>
      </c>
      <c r="P8" s="41">
        <f>O8+Model_2!P60</f>
        <v>2433.3333333333335</v>
      </c>
      <c r="Q8" s="41">
        <f>P8+Model_2!Q60</f>
        <v>2433.3333333333335</v>
      </c>
      <c r="R8" s="41">
        <f>Q8+Model_2!R60</f>
        <v>2433.3333333333335</v>
      </c>
      <c r="S8" s="41">
        <f>R8+Model_2!S60</f>
        <v>2433.3333333333335</v>
      </c>
      <c r="T8" s="41">
        <f>S8+Model_2!T60</f>
        <v>2433.3333333333335</v>
      </c>
      <c r="U8" s="41">
        <f>T8+Model_2!U60</f>
        <v>2433.3333333333335</v>
      </c>
      <c r="V8" s="41">
        <f>U8+Model_2!V60</f>
        <v>2433.3333333333335</v>
      </c>
      <c r="W8" s="41">
        <f>V8+Model_2!W60</f>
        <v>2433.3333333333335</v>
      </c>
      <c r="X8" s="41">
        <f>W8+Model_2!X60</f>
        <v>2433.3333333333335</v>
      </c>
      <c r="Y8" s="41">
        <f>X8+Model_2!Y60</f>
        <v>2433.3333333333335</v>
      </c>
      <c r="Z8" s="41">
        <f>Y8+Model_2!Z60</f>
        <v>2433.3333333333335</v>
      </c>
      <c r="AA8" s="41">
        <f>Z8+Model_2!AA60</f>
        <v>2433.3333333333335</v>
      </c>
      <c r="AB8" s="41">
        <f>AA8+Model_2!AB60</f>
        <v>2433.3333333333335</v>
      </c>
      <c r="AC8" s="41">
        <f>AB8+Model_2!AC60</f>
        <v>2433.3333333333335</v>
      </c>
      <c r="AD8" s="41">
        <f>AC8+Model_2!AD60</f>
        <v>2433.3333333333335</v>
      </c>
      <c r="AE8" s="41">
        <f>AD8+Model_2!AE60</f>
        <v>2433.3333333333335</v>
      </c>
      <c r="AF8" s="41">
        <f>AE8+Model_2!AF60</f>
        <v>2433.3333333333335</v>
      </c>
      <c r="AG8" s="41">
        <f>AF8+Model_2!AG60</f>
        <v>2433.3333333333335</v>
      </c>
      <c r="AH8" s="41">
        <f>AG8+Model_2!AH60</f>
        <v>2433.3333333333335</v>
      </c>
      <c r="AI8" s="41">
        <f>AH8+Model_2!AI60</f>
        <v>2433.3333333333335</v>
      </c>
      <c r="AJ8" s="41">
        <f>AI8+Model_2!AJ60</f>
        <v>2433.3333333333335</v>
      </c>
      <c r="AK8" s="41">
        <f>AJ8+Model_2!AK60</f>
        <v>2433.3333333333335</v>
      </c>
      <c r="AL8" s="41">
        <f>AK8+Model_2!AL60</f>
        <v>2433.3333333333335</v>
      </c>
      <c r="AM8" s="41">
        <f>AL8+Model_2!AM60</f>
        <v>2433.3333333333335</v>
      </c>
      <c r="AN8" s="41">
        <f>AM8+Model_2!AN60</f>
        <v>2433.3333333333335</v>
      </c>
      <c r="AO8" s="41">
        <f>AN8+Model_2!AO60</f>
        <v>2433.3333333333335</v>
      </c>
      <c r="AP8" s="41">
        <f>AO8+Model_2!AP60</f>
        <v>2433.3333333333335</v>
      </c>
      <c r="AQ8" s="41">
        <f>AP8+Model_2!AQ60</f>
        <v>2433.3333333333335</v>
      </c>
      <c r="AR8" s="41">
        <f>AQ8+Model_2!AR60</f>
        <v>2433.3333333333335</v>
      </c>
      <c r="AS8" s="41">
        <f>AR8+Model_2!AS60</f>
        <v>2433.3333333333335</v>
      </c>
      <c r="AT8" s="41">
        <f>AS8+Model_2!AT60</f>
        <v>2433.3333333333335</v>
      </c>
      <c r="AU8" s="41">
        <f>AT8+Model_2!AU60</f>
        <v>2433.3333333333335</v>
      </c>
      <c r="AV8" s="41">
        <f>AU8+Model_2!AV60</f>
        <v>2433.3333333333335</v>
      </c>
      <c r="AW8" s="41">
        <f>AV8+Model_2!AW60</f>
        <v>2433.3333333333335</v>
      </c>
      <c r="AX8" s="41">
        <f>AW8+Model_2!AX60</f>
        <v>2433.3333333333335</v>
      </c>
      <c r="AY8" s="41">
        <f>AX8+Model_2!AY60</f>
        <v>2433.3333333333335</v>
      </c>
      <c r="AZ8" s="41"/>
      <c r="BA8" s="41"/>
      <c r="BB8" s="41"/>
    </row>
    <row r="9" spans="1:54" x14ac:dyDescent="0.45">
      <c r="A9" s="41" t="str">
        <f>Model_2!A61</f>
        <v>Mulch cost ($/m3)</v>
      </c>
      <c r="B9" s="41">
        <f>Model_2!B61</f>
        <v>549.46862696699998</v>
      </c>
      <c r="C9" s="41">
        <f>B9+Model_2!C61</f>
        <v>549.46862696699998</v>
      </c>
      <c r="D9" s="41">
        <f>C9+Model_2!D61</f>
        <v>549.46862696699998</v>
      </c>
      <c r="E9" s="41">
        <f>D9+Model_2!E61</f>
        <v>549.46862696699998</v>
      </c>
      <c r="F9" s="41">
        <f>E9+Model_2!F61</f>
        <v>549.46862696699998</v>
      </c>
      <c r="G9" s="41">
        <f>F9+Model_2!G61</f>
        <v>549.46862696699998</v>
      </c>
      <c r="H9" s="41">
        <f>G9+Model_2!H61</f>
        <v>549.46862696699998</v>
      </c>
      <c r="I9" s="41">
        <f>H9+Model_2!I61</f>
        <v>549.46862696699998</v>
      </c>
      <c r="J9" s="41">
        <f>I9+Model_2!J61</f>
        <v>549.46862696699998</v>
      </c>
      <c r="K9" s="41">
        <f>J9+Model_2!K61</f>
        <v>549.46862696699998</v>
      </c>
      <c r="L9" s="41">
        <f>K9+Model_2!L61</f>
        <v>549.46862696699998</v>
      </c>
      <c r="M9" s="41">
        <f>L9+Model_2!M61</f>
        <v>549.46862696699998</v>
      </c>
      <c r="N9" s="41">
        <f>M9+Model_2!N61</f>
        <v>549.46862696699998</v>
      </c>
      <c r="O9" s="41">
        <f>N9+Model_2!O61</f>
        <v>549.46862696699998</v>
      </c>
      <c r="P9" s="41">
        <f>O9+Model_2!P61</f>
        <v>549.46862696699998</v>
      </c>
      <c r="Q9" s="41">
        <f>P9+Model_2!Q61</f>
        <v>549.46862696699998</v>
      </c>
      <c r="R9" s="41">
        <f>Q9+Model_2!R61</f>
        <v>549.46862696699998</v>
      </c>
      <c r="S9" s="41">
        <f>R9+Model_2!S61</f>
        <v>549.46862696699998</v>
      </c>
      <c r="T9" s="41">
        <f>S9+Model_2!T61</f>
        <v>549.46862696699998</v>
      </c>
      <c r="U9" s="41">
        <f>T9+Model_2!U61</f>
        <v>549.46862696699998</v>
      </c>
      <c r="V9" s="41">
        <f>U9+Model_2!V61</f>
        <v>549.46862696699998</v>
      </c>
      <c r="W9" s="41">
        <f>V9+Model_2!W61</f>
        <v>549.46862696699998</v>
      </c>
      <c r="X9" s="41">
        <f>W9+Model_2!X61</f>
        <v>549.46862696699998</v>
      </c>
      <c r="Y9" s="41">
        <f>X9+Model_2!Y61</f>
        <v>549.46862696699998</v>
      </c>
      <c r="Z9" s="41">
        <f>Y9+Model_2!Z61</f>
        <v>549.46862696699998</v>
      </c>
      <c r="AA9" s="41">
        <f>Z9+Model_2!AA61</f>
        <v>549.46862696699998</v>
      </c>
      <c r="AB9" s="41">
        <f>AA9+Model_2!AB61</f>
        <v>549.46862696699998</v>
      </c>
      <c r="AC9" s="41">
        <f>AB9+Model_2!AC61</f>
        <v>549.46862696699998</v>
      </c>
      <c r="AD9" s="41">
        <f>AC9+Model_2!AD61</f>
        <v>549.46862696699998</v>
      </c>
      <c r="AE9" s="41">
        <f>AD9+Model_2!AE61</f>
        <v>549.46862696699998</v>
      </c>
      <c r="AF9" s="41">
        <f>AE9+Model_2!AF61</f>
        <v>549.46862696699998</v>
      </c>
      <c r="AG9" s="41">
        <f>AF9+Model_2!AG61</f>
        <v>549.46862696699998</v>
      </c>
      <c r="AH9" s="41">
        <f>AG9+Model_2!AH61</f>
        <v>549.46862696699998</v>
      </c>
      <c r="AI9" s="41">
        <f>AH9+Model_2!AI61</f>
        <v>549.46862696699998</v>
      </c>
      <c r="AJ9" s="41">
        <f>AI9+Model_2!AJ61</f>
        <v>549.46862696699998</v>
      </c>
      <c r="AK9" s="41">
        <f>AJ9+Model_2!AK61</f>
        <v>549.46862696699998</v>
      </c>
      <c r="AL9" s="41">
        <f>AK9+Model_2!AL61</f>
        <v>549.46862696699998</v>
      </c>
      <c r="AM9" s="41">
        <f>AL9+Model_2!AM61</f>
        <v>549.46862696699998</v>
      </c>
      <c r="AN9" s="41">
        <f>AM9+Model_2!AN61</f>
        <v>549.46862696699998</v>
      </c>
      <c r="AO9" s="41">
        <f>AN9+Model_2!AO61</f>
        <v>549.46862696699998</v>
      </c>
      <c r="AP9" s="41">
        <f>AO9+Model_2!AP61</f>
        <v>549.46862696699998</v>
      </c>
      <c r="AQ9" s="41">
        <f>AP9+Model_2!AQ61</f>
        <v>549.46862696699998</v>
      </c>
      <c r="AR9" s="41">
        <f>AQ9+Model_2!AR61</f>
        <v>549.46862696699998</v>
      </c>
      <c r="AS9" s="41">
        <f>AR9+Model_2!AS61</f>
        <v>549.46862696699998</v>
      </c>
      <c r="AT9" s="41">
        <f>AS9+Model_2!AT61</f>
        <v>549.46862696699998</v>
      </c>
      <c r="AU9" s="41">
        <f>AT9+Model_2!AU61</f>
        <v>549.46862696699998</v>
      </c>
      <c r="AV9" s="41">
        <f>AU9+Model_2!AV61</f>
        <v>549.46862696699998</v>
      </c>
      <c r="AW9" s="41">
        <f>AV9+Model_2!AW61</f>
        <v>549.46862696699998</v>
      </c>
      <c r="AX9" s="41">
        <f>AW9+Model_2!AX61</f>
        <v>549.46862696699998</v>
      </c>
      <c r="AY9" s="41">
        <f>AX9+Model_2!AY61</f>
        <v>549.46862696699998</v>
      </c>
      <c r="AZ9" s="41"/>
      <c r="BA9" s="41"/>
      <c r="BB9" s="41"/>
    </row>
    <row r="10" spans="1:54" x14ac:dyDescent="0.45">
      <c r="A10" s="41" t="str">
        <f>Model_2!A62</f>
        <v>Stakes and ties ($)</v>
      </c>
      <c r="B10" s="41">
        <f>Model_2!B62</f>
        <v>7019.9999999999991</v>
      </c>
      <c r="C10" s="41">
        <f>B10+Model_2!C62</f>
        <v>7019.9999999999991</v>
      </c>
      <c r="D10" s="41">
        <f>C10+Model_2!D62</f>
        <v>7019.9999999999991</v>
      </c>
      <c r="E10" s="41">
        <f>D10+Model_2!E62</f>
        <v>7019.9999999999991</v>
      </c>
      <c r="F10" s="41">
        <f>E10+Model_2!F62</f>
        <v>7019.9999999999991</v>
      </c>
      <c r="G10" s="41">
        <f>F10+Model_2!G62</f>
        <v>7019.9999999999991</v>
      </c>
      <c r="H10" s="41">
        <f>G10+Model_2!H62</f>
        <v>7019.9999999999991</v>
      </c>
      <c r="I10" s="41">
        <f>H10+Model_2!I62</f>
        <v>7019.9999999999991</v>
      </c>
      <c r="J10" s="41">
        <f>I10+Model_2!J62</f>
        <v>7019.9999999999991</v>
      </c>
      <c r="K10" s="41">
        <f>J10+Model_2!K62</f>
        <v>7019.9999999999991</v>
      </c>
      <c r="L10" s="41">
        <f>K10+Model_2!L62</f>
        <v>7019.9999999999991</v>
      </c>
      <c r="M10" s="41">
        <f>L10+Model_2!M62</f>
        <v>7019.9999999999991</v>
      </c>
      <c r="N10" s="41">
        <f>M10+Model_2!N62</f>
        <v>7019.9999999999991</v>
      </c>
      <c r="O10" s="41">
        <f>N10+Model_2!O62</f>
        <v>7019.9999999999991</v>
      </c>
      <c r="P10" s="41">
        <f>O10+Model_2!P62</f>
        <v>7019.9999999999991</v>
      </c>
      <c r="Q10" s="41">
        <f>P10+Model_2!Q62</f>
        <v>7019.9999999999991</v>
      </c>
      <c r="R10" s="41">
        <f>Q10+Model_2!R62</f>
        <v>7019.9999999999991</v>
      </c>
      <c r="S10" s="41">
        <f>R10+Model_2!S62</f>
        <v>7019.9999999999991</v>
      </c>
      <c r="T10" s="41">
        <f>S10+Model_2!T62</f>
        <v>7019.9999999999991</v>
      </c>
      <c r="U10" s="41">
        <f>T10+Model_2!U62</f>
        <v>7019.9999999999991</v>
      </c>
      <c r="V10" s="41">
        <f>U10+Model_2!V62</f>
        <v>7019.9999999999991</v>
      </c>
      <c r="W10" s="41">
        <f>V10+Model_2!W62</f>
        <v>7019.9999999999991</v>
      </c>
      <c r="X10" s="41">
        <f>W10+Model_2!X62</f>
        <v>7019.9999999999991</v>
      </c>
      <c r="Y10" s="41">
        <f>X10+Model_2!Y62</f>
        <v>7019.9999999999991</v>
      </c>
      <c r="Z10" s="41">
        <f>Y10+Model_2!Z62</f>
        <v>7019.9999999999991</v>
      </c>
      <c r="AA10" s="41">
        <f>Z10+Model_2!AA62</f>
        <v>7019.9999999999991</v>
      </c>
      <c r="AB10" s="41">
        <f>AA10+Model_2!AB62</f>
        <v>7019.9999999999991</v>
      </c>
      <c r="AC10" s="41">
        <f>AB10+Model_2!AC62</f>
        <v>7019.9999999999991</v>
      </c>
      <c r="AD10" s="41">
        <f>AC10+Model_2!AD62</f>
        <v>7019.9999999999991</v>
      </c>
      <c r="AE10" s="41">
        <f>AD10+Model_2!AE62</f>
        <v>7019.9999999999991</v>
      </c>
      <c r="AF10" s="41">
        <f>AE10+Model_2!AF62</f>
        <v>7019.9999999999991</v>
      </c>
      <c r="AG10" s="41">
        <f>AF10+Model_2!AG62</f>
        <v>7019.9999999999991</v>
      </c>
      <c r="AH10" s="41">
        <f>AG10+Model_2!AH62</f>
        <v>7019.9999999999991</v>
      </c>
      <c r="AI10" s="41">
        <f>AH10+Model_2!AI62</f>
        <v>7019.9999999999991</v>
      </c>
      <c r="AJ10" s="41">
        <f>AI10+Model_2!AJ62</f>
        <v>7019.9999999999991</v>
      </c>
      <c r="AK10" s="41">
        <f>AJ10+Model_2!AK62</f>
        <v>7019.9999999999991</v>
      </c>
      <c r="AL10" s="41">
        <f>AK10+Model_2!AL62</f>
        <v>7019.9999999999991</v>
      </c>
      <c r="AM10" s="41">
        <f>AL10+Model_2!AM62</f>
        <v>7019.9999999999991</v>
      </c>
      <c r="AN10" s="41">
        <f>AM10+Model_2!AN62</f>
        <v>7019.9999999999991</v>
      </c>
      <c r="AO10" s="41">
        <f>AN10+Model_2!AO62</f>
        <v>7019.9999999999991</v>
      </c>
      <c r="AP10" s="41">
        <f>AO10+Model_2!AP62</f>
        <v>7019.9999999999991</v>
      </c>
      <c r="AQ10" s="41">
        <f>AP10+Model_2!AQ62</f>
        <v>7019.9999999999991</v>
      </c>
      <c r="AR10" s="41">
        <f>AQ10+Model_2!AR62</f>
        <v>7019.9999999999991</v>
      </c>
      <c r="AS10" s="41">
        <f>AR10+Model_2!AS62</f>
        <v>7019.9999999999991</v>
      </c>
      <c r="AT10" s="41">
        <f>AS10+Model_2!AT62</f>
        <v>7019.9999999999991</v>
      </c>
      <c r="AU10" s="41">
        <f>AT10+Model_2!AU62</f>
        <v>7019.9999999999991</v>
      </c>
      <c r="AV10" s="41">
        <f>AU10+Model_2!AV62</f>
        <v>7019.9999999999991</v>
      </c>
      <c r="AW10" s="41">
        <f>AV10+Model_2!AW62</f>
        <v>7019.9999999999991</v>
      </c>
      <c r="AX10" s="41">
        <f>AW10+Model_2!AX62</f>
        <v>7019.9999999999991</v>
      </c>
      <c r="AY10" s="41">
        <f>AX10+Model_2!AY62</f>
        <v>7019.9999999999991</v>
      </c>
      <c r="AZ10" s="41"/>
      <c r="BA10" s="41"/>
      <c r="BB10" s="41"/>
    </row>
    <row r="11" spans="1:54" x14ac:dyDescent="0.45">
      <c r="A11" s="41" t="str">
        <f>Model_2!A63</f>
        <v>Tree removal</v>
      </c>
      <c r="B11" s="41">
        <f>Model_2!B63</f>
        <v>0</v>
      </c>
      <c r="C11" s="41">
        <f>B11+Model_2!C63</f>
        <v>0</v>
      </c>
      <c r="D11" s="41">
        <f>C11+Model_2!D63</f>
        <v>0</v>
      </c>
      <c r="E11" s="41">
        <f>D11+Model_2!E63</f>
        <v>0</v>
      </c>
      <c r="F11" s="41">
        <f>E11+Model_2!F63</f>
        <v>0</v>
      </c>
      <c r="G11" s="41">
        <f>F11+Model_2!G63</f>
        <v>0</v>
      </c>
      <c r="H11" s="41">
        <f>G11+Model_2!H63</f>
        <v>5050.4648363171364</v>
      </c>
      <c r="I11" s="41">
        <f>H11+Model_2!I63</f>
        <v>10227.191293542201</v>
      </c>
      <c r="J11" s="41">
        <f>I11+Model_2!J63</f>
        <v>15533.335912197892</v>
      </c>
      <c r="K11" s="41">
        <f>J11+Model_2!K63</f>
        <v>20972.134146319975</v>
      </c>
      <c r="L11" s="41">
        <f>K11+Model_2!L63</f>
        <v>26546.902336295112</v>
      </c>
      <c r="M11" s="41">
        <f>L11+Model_2!M63</f>
        <v>32261.039731019628</v>
      </c>
      <c r="N11" s="41">
        <f>M11+Model_2!N63</f>
        <v>38118.030560612257</v>
      </c>
      <c r="O11" s="41">
        <f>N11+Model_2!O63</f>
        <v>44121.446160944695</v>
      </c>
      <c r="P11" s="41">
        <f>O11+Model_2!P63</f>
        <v>50274.947151285451</v>
      </c>
      <c r="Q11" s="41">
        <f>P11+Model_2!Q63</f>
        <v>56582.28566638472</v>
      </c>
      <c r="R11" s="41">
        <f>Q11+Model_2!R63</f>
        <v>63047.30764436147</v>
      </c>
      <c r="S11" s="41">
        <f>R11+Model_2!S63</f>
        <v>69673.955171787646</v>
      </c>
      <c r="T11" s="41">
        <f>S11+Model_2!T63</f>
        <v>76466.268887399463</v>
      </c>
      <c r="U11" s="41">
        <f>T11+Model_2!U63</f>
        <v>83428.39044590159</v>
      </c>
      <c r="V11" s="41">
        <f>U11+Model_2!V63</f>
        <v>90564.565043366267</v>
      </c>
      <c r="W11" s="41">
        <f>V11+Model_2!W63</f>
        <v>97879.14400576755</v>
      </c>
      <c r="X11" s="41">
        <f>W11+Model_2!X63</f>
        <v>105376.58744222888</v>
      </c>
      <c r="Y11" s="41">
        <f>X11+Model_2!Y63</f>
        <v>113061.46696460173</v>
      </c>
      <c r="Z11" s="41">
        <f>Y11+Model_2!Z63</f>
        <v>120938.46847503391</v>
      </c>
      <c r="AA11" s="41">
        <f>Z11+Model_2!AA63</f>
        <v>129012.39502322688</v>
      </c>
      <c r="AB11" s="41">
        <f>AA11+Model_2!AB63</f>
        <v>137288.16973512468</v>
      </c>
      <c r="AC11" s="41">
        <f>AB11+Model_2!AC63</f>
        <v>145770.83881481993</v>
      </c>
      <c r="AD11" s="41">
        <f>AC11+Model_2!AD63</f>
        <v>154465.57462150755</v>
      </c>
      <c r="AE11" s="41">
        <f>AD11+Model_2!AE63</f>
        <v>163377.67882336237</v>
      </c>
      <c r="AF11" s="41">
        <f>AE11+Model_2!AF63</f>
        <v>172512.58563026355</v>
      </c>
      <c r="AG11" s="41">
        <f>AF11+Model_2!AG63</f>
        <v>181875.86510733727</v>
      </c>
      <c r="AH11" s="41">
        <f>AG11+Model_2!AH63</f>
        <v>191473.22657133784</v>
      </c>
      <c r="AI11" s="41">
        <f>AH11+Model_2!AI63</f>
        <v>201310.52207193841</v>
      </c>
      <c r="AJ11" s="41">
        <f>AI11+Model_2!AJ63</f>
        <v>211393.749960054</v>
      </c>
      <c r="AK11" s="41">
        <f>AJ11+Model_2!AK63</f>
        <v>221729.05854537248</v>
      </c>
      <c r="AL11" s="41">
        <f>AK11+Model_2!AL63</f>
        <v>232322.74984532391</v>
      </c>
      <c r="AM11" s="41">
        <f>AL11+Model_2!AM63</f>
        <v>243181.28342777412</v>
      </c>
      <c r="AN11" s="41">
        <f>AM11+Model_2!AN63</f>
        <v>254311.28034978561</v>
      </c>
      <c r="AO11" s="41">
        <f>AN11+Model_2!AO63</f>
        <v>265719.52719484735</v>
      </c>
      <c r="AP11" s="41">
        <f>AO11+Model_2!AP63</f>
        <v>277412.98021103564</v>
      </c>
      <c r="AQ11" s="41">
        <f>AP11+Model_2!AQ63</f>
        <v>289398.76955262863</v>
      </c>
      <c r="AR11" s="41">
        <f>AQ11+Model_2!AR63</f>
        <v>301684.20362776145</v>
      </c>
      <c r="AS11" s="41">
        <f>AR11+Model_2!AS63</f>
        <v>314276.7735547726</v>
      </c>
      <c r="AT11" s="41">
        <f>AS11+Model_2!AT63</f>
        <v>327184.15772995906</v>
      </c>
      <c r="AU11" s="41">
        <f>AT11+Model_2!AU63</f>
        <v>340414.22650952515</v>
      </c>
      <c r="AV11" s="41">
        <f>AU11+Model_2!AV63</f>
        <v>353975.04700858041</v>
      </c>
      <c r="AW11" s="41">
        <f>AV11+Model_2!AW63</f>
        <v>367874.88802011206</v>
      </c>
      <c r="AX11" s="41">
        <f>AW11+Model_2!AX63</f>
        <v>382122.22505693196</v>
      </c>
      <c r="AY11" s="41">
        <f>AX11+Model_2!AY63</f>
        <v>396725.7455196724</v>
      </c>
      <c r="AZ11" s="41"/>
      <c r="BA11" s="41"/>
      <c r="BB11" s="41"/>
    </row>
    <row r="12" spans="1:54" x14ac:dyDescent="0.45">
      <c r="A12" s="41" t="str">
        <f>Model_2!A64</f>
        <v>Soil cost ($/m3)</v>
      </c>
      <c r="B12" s="41">
        <f>Model_2!B64</f>
        <v>1790.1</v>
      </c>
      <c r="C12" s="41">
        <f>B12+Model_2!C64</f>
        <v>1790.1</v>
      </c>
      <c r="D12" s="41">
        <f>C12+Model_2!D64</f>
        <v>1790.1</v>
      </c>
      <c r="E12" s="41">
        <f>D12+Model_2!E64</f>
        <v>1790.1</v>
      </c>
      <c r="F12" s="41">
        <f>E12+Model_2!F64</f>
        <v>1790.1</v>
      </c>
      <c r="G12" s="41">
        <f>F12+Model_2!G64</f>
        <v>1790.1</v>
      </c>
      <c r="H12" s="41">
        <f>G12+Model_2!H64</f>
        <v>1790.1</v>
      </c>
      <c r="I12" s="41">
        <f>H12+Model_2!I64</f>
        <v>1790.1</v>
      </c>
      <c r="J12" s="41">
        <f>I12+Model_2!J64</f>
        <v>1790.1</v>
      </c>
      <c r="K12" s="41">
        <f>J12+Model_2!K64</f>
        <v>1790.1</v>
      </c>
      <c r="L12" s="41">
        <f>K12+Model_2!L64</f>
        <v>1790.1</v>
      </c>
      <c r="M12" s="41">
        <f>L12+Model_2!M64</f>
        <v>1790.1</v>
      </c>
      <c r="N12" s="41">
        <f>M12+Model_2!N64</f>
        <v>1790.1</v>
      </c>
      <c r="O12" s="41">
        <f>N12+Model_2!O64</f>
        <v>1790.1</v>
      </c>
      <c r="P12" s="41">
        <f>O12+Model_2!P64</f>
        <v>1790.1</v>
      </c>
      <c r="Q12" s="41">
        <f>P12+Model_2!Q64</f>
        <v>1790.1</v>
      </c>
      <c r="R12" s="41">
        <f>Q12+Model_2!R64</f>
        <v>1790.1</v>
      </c>
      <c r="S12" s="41">
        <f>R12+Model_2!S64</f>
        <v>1790.1</v>
      </c>
      <c r="T12" s="41">
        <f>S12+Model_2!T64</f>
        <v>1790.1</v>
      </c>
      <c r="U12" s="41">
        <f>T12+Model_2!U64</f>
        <v>1790.1</v>
      </c>
      <c r="V12" s="41">
        <f>U12+Model_2!V64</f>
        <v>1790.1</v>
      </c>
      <c r="W12" s="41">
        <f>V12+Model_2!W64</f>
        <v>1790.1</v>
      </c>
      <c r="X12" s="41">
        <f>W12+Model_2!X64</f>
        <v>1790.1</v>
      </c>
      <c r="Y12" s="41">
        <f>X12+Model_2!Y64</f>
        <v>1790.1</v>
      </c>
      <c r="Z12" s="41">
        <f>Y12+Model_2!Z64</f>
        <v>1790.1</v>
      </c>
      <c r="AA12" s="41">
        <f>Z12+Model_2!AA64</f>
        <v>1790.1</v>
      </c>
      <c r="AB12" s="41">
        <f>AA12+Model_2!AB64</f>
        <v>1790.1</v>
      </c>
      <c r="AC12" s="41">
        <f>AB12+Model_2!AC64</f>
        <v>1790.1</v>
      </c>
      <c r="AD12" s="41">
        <f>AC12+Model_2!AD64</f>
        <v>1790.1</v>
      </c>
      <c r="AE12" s="41">
        <f>AD12+Model_2!AE64</f>
        <v>1790.1</v>
      </c>
      <c r="AF12" s="41">
        <f>AE12+Model_2!AF64</f>
        <v>1790.1</v>
      </c>
      <c r="AG12" s="41">
        <f>AF12+Model_2!AG64</f>
        <v>1790.1</v>
      </c>
      <c r="AH12" s="41">
        <f>AG12+Model_2!AH64</f>
        <v>1790.1</v>
      </c>
      <c r="AI12" s="41">
        <f>AH12+Model_2!AI64</f>
        <v>1790.1</v>
      </c>
      <c r="AJ12" s="41">
        <f>AI12+Model_2!AJ64</f>
        <v>1790.1</v>
      </c>
      <c r="AK12" s="41">
        <f>AJ12+Model_2!AK64</f>
        <v>1790.1</v>
      </c>
      <c r="AL12" s="41">
        <f>AK12+Model_2!AL64</f>
        <v>1790.1</v>
      </c>
      <c r="AM12" s="41">
        <f>AL12+Model_2!AM64</f>
        <v>1790.1</v>
      </c>
      <c r="AN12" s="41">
        <f>AM12+Model_2!AN64</f>
        <v>1790.1</v>
      </c>
      <c r="AO12" s="41">
        <f>AN12+Model_2!AO64</f>
        <v>1790.1</v>
      </c>
      <c r="AP12" s="41">
        <f>AO12+Model_2!AP64</f>
        <v>1790.1</v>
      </c>
      <c r="AQ12" s="41">
        <f>AP12+Model_2!AQ64</f>
        <v>1790.1</v>
      </c>
      <c r="AR12" s="41">
        <f>AQ12+Model_2!AR64</f>
        <v>1790.1</v>
      </c>
      <c r="AS12" s="41">
        <f>AR12+Model_2!AS64</f>
        <v>1790.1</v>
      </c>
      <c r="AT12" s="41">
        <f>AS12+Model_2!AT64</f>
        <v>1790.1</v>
      </c>
      <c r="AU12" s="41">
        <f>AT12+Model_2!AU64</f>
        <v>1790.1</v>
      </c>
      <c r="AV12" s="41">
        <f>AU12+Model_2!AV64</f>
        <v>1790.1</v>
      </c>
      <c r="AW12" s="41">
        <f>AV12+Model_2!AW64</f>
        <v>1790.1</v>
      </c>
      <c r="AX12" s="41">
        <f>AW12+Model_2!AX64</f>
        <v>1790.1</v>
      </c>
      <c r="AY12" s="41">
        <f>AX12+Model_2!AY64</f>
        <v>1790.1</v>
      </c>
      <c r="AZ12" s="41"/>
      <c r="BA12" s="41"/>
      <c r="BB12" s="41"/>
    </row>
    <row r="13" spans="1:54" x14ac:dyDescent="0.45">
      <c r="A13" s="41" t="str">
        <f>Model_2!A65</f>
        <v>Tree protection fencing ($)</v>
      </c>
      <c r="B13" s="41">
        <f>Model_2!B65</f>
        <v>250</v>
      </c>
      <c r="C13" s="41">
        <f>B13+Model_2!C65</f>
        <v>250</v>
      </c>
      <c r="D13" s="41">
        <f>C13+Model_2!D65</f>
        <v>250</v>
      </c>
      <c r="E13" s="41">
        <f>D13+Model_2!E65</f>
        <v>250</v>
      </c>
      <c r="F13" s="41">
        <f>E13+Model_2!F65</f>
        <v>250</v>
      </c>
      <c r="G13" s="41">
        <f>F13+Model_2!G65</f>
        <v>250</v>
      </c>
      <c r="H13" s="41">
        <f>G13+Model_2!H65</f>
        <v>250</v>
      </c>
      <c r="I13" s="41">
        <f>H13+Model_2!I65</f>
        <v>250</v>
      </c>
      <c r="J13" s="41">
        <f>I13+Model_2!J65</f>
        <v>250</v>
      </c>
      <c r="K13" s="41">
        <f>J13+Model_2!K65</f>
        <v>250</v>
      </c>
      <c r="L13" s="41">
        <f>K13+Model_2!L65</f>
        <v>250</v>
      </c>
      <c r="M13" s="41">
        <f>L13+Model_2!M65</f>
        <v>250</v>
      </c>
      <c r="N13" s="41">
        <f>M13+Model_2!N65</f>
        <v>250</v>
      </c>
      <c r="O13" s="41">
        <f>N13+Model_2!O65</f>
        <v>250</v>
      </c>
      <c r="P13" s="41">
        <f>O13+Model_2!P65</f>
        <v>250</v>
      </c>
      <c r="Q13" s="41">
        <f>P13+Model_2!Q65</f>
        <v>250</v>
      </c>
      <c r="R13" s="41">
        <f>Q13+Model_2!R65</f>
        <v>250</v>
      </c>
      <c r="S13" s="41">
        <f>R13+Model_2!S65</f>
        <v>250</v>
      </c>
      <c r="T13" s="41">
        <f>S13+Model_2!T65</f>
        <v>250</v>
      </c>
      <c r="U13" s="41">
        <f>T13+Model_2!U65</f>
        <v>250</v>
      </c>
      <c r="V13" s="41">
        <f>U13+Model_2!V65</f>
        <v>250</v>
      </c>
      <c r="W13" s="41">
        <f>V13+Model_2!W65</f>
        <v>250</v>
      </c>
      <c r="X13" s="41">
        <f>W13+Model_2!X65</f>
        <v>250</v>
      </c>
      <c r="Y13" s="41">
        <f>X13+Model_2!Y65</f>
        <v>250</v>
      </c>
      <c r="Z13" s="41">
        <f>Y13+Model_2!Z65</f>
        <v>250</v>
      </c>
      <c r="AA13" s="41">
        <f>Z13+Model_2!AA65</f>
        <v>250</v>
      </c>
      <c r="AB13" s="41">
        <f>AA13+Model_2!AB65</f>
        <v>250</v>
      </c>
      <c r="AC13" s="41">
        <f>AB13+Model_2!AC65</f>
        <v>250</v>
      </c>
      <c r="AD13" s="41">
        <f>AC13+Model_2!AD65</f>
        <v>250</v>
      </c>
      <c r="AE13" s="41">
        <f>AD13+Model_2!AE65</f>
        <v>250</v>
      </c>
      <c r="AF13" s="41">
        <f>AE13+Model_2!AF65</f>
        <v>250</v>
      </c>
      <c r="AG13" s="41">
        <f>AF13+Model_2!AG65</f>
        <v>250</v>
      </c>
      <c r="AH13" s="41">
        <f>AG13+Model_2!AH65</f>
        <v>250</v>
      </c>
      <c r="AI13" s="41">
        <f>AH13+Model_2!AI65</f>
        <v>250</v>
      </c>
      <c r="AJ13" s="41">
        <f>AI13+Model_2!AJ65</f>
        <v>250</v>
      </c>
      <c r="AK13" s="41">
        <f>AJ13+Model_2!AK65</f>
        <v>250</v>
      </c>
      <c r="AL13" s="41">
        <f>AK13+Model_2!AL65</f>
        <v>250</v>
      </c>
      <c r="AM13" s="41">
        <f>AL13+Model_2!AM65</f>
        <v>250</v>
      </c>
      <c r="AN13" s="41">
        <f>AM13+Model_2!AN65</f>
        <v>250</v>
      </c>
      <c r="AO13" s="41">
        <f>AN13+Model_2!AO65</f>
        <v>250</v>
      </c>
      <c r="AP13" s="41">
        <f>AO13+Model_2!AP65</f>
        <v>250</v>
      </c>
      <c r="AQ13" s="41">
        <f>AP13+Model_2!AQ65</f>
        <v>250</v>
      </c>
      <c r="AR13" s="41">
        <f>AQ13+Model_2!AR65</f>
        <v>250</v>
      </c>
      <c r="AS13" s="41">
        <f>AR13+Model_2!AS65</f>
        <v>250</v>
      </c>
      <c r="AT13" s="41">
        <f>AS13+Model_2!AT65</f>
        <v>250</v>
      </c>
      <c r="AU13" s="41">
        <f>AT13+Model_2!AU65</f>
        <v>250</v>
      </c>
      <c r="AV13" s="41">
        <f>AU13+Model_2!AV65</f>
        <v>250</v>
      </c>
      <c r="AW13" s="41">
        <f>AV13+Model_2!AW65</f>
        <v>250</v>
      </c>
      <c r="AX13" s="41">
        <f>AW13+Model_2!AX65</f>
        <v>250</v>
      </c>
      <c r="AY13" s="41">
        <f>AX13+Model_2!AY65</f>
        <v>250</v>
      </c>
      <c r="AZ13" s="41"/>
      <c r="BA13" s="41"/>
      <c r="BB13" s="41"/>
    </row>
    <row r="14" spans="1:54" x14ac:dyDescent="0.45">
      <c r="A14" s="41" t="str">
        <f>Model_2!A66</f>
        <v>Traffic control cost ($)</v>
      </c>
      <c r="B14" s="41">
        <f>Model_2!B66</f>
        <v>0</v>
      </c>
      <c r="C14" s="41">
        <f>B14+Model_2!C66</f>
        <v>0</v>
      </c>
      <c r="D14" s="41">
        <f>C14+Model_2!D66</f>
        <v>0</v>
      </c>
      <c r="E14" s="41">
        <f>D14+Model_2!E66</f>
        <v>0</v>
      </c>
      <c r="F14" s="41">
        <f>E14+Model_2!F66</f>
        <v>0</v>
      </c>
      <c r="G14" s="41">
        <f>F14+Model_2!G66</f>
        <v>0</v>
      </c>
      <c r="H14" s="41">
        <f>G14+Model_2!H66</f>
        <v>0</v>
      </c>
      <c r="I14" s="41">
        <f>H14+Model_2!I66</f>
        <v>0</v>
      </c>
      <c r="J14" s="41">
        <f>I14+Model_2!J66</f>
        <v>0</v>
      </c>
      <c r="K14" s="41">
        <f>J14+Model_2!K66</f>
        <v>0</v>
      </c>
      <c r="L14" s="41">
        <f>K14+Model_2!L66</f>
        <v>0</v>
      </c>
      <c r="M14" s="41">
        <f>L14+Model_2!M66</f>
        <v>0</v>
      </c>
      <c r="N14" s="41">
        <f>M14+Model_2!N66</f>
        <v>0</v>
      </c>
      <c r="O14" s="41">
        <f>N14+Model_2!O66</f>
        <v>0</v>
      </c>
      <c r="P14" s="41">
        <f>O14+Model_2!P66</f>
        <v>0</v>
      </c>
      <c r="Q14" s="41">
        <f>P14+Model_2!Q66</f>
        <v>0</v>
      </c>
      <c r="R14" s="41">
        <f>Q14+Model_2!R66</f>
        <v>0</v>
      </c>
      <c r="S14" s="41">
        <f>R14+Model_2!S66</f>
        <v>0</v>
      </c>
      <c r="T14" s="41">
        <f>S14+Model_2!T66</f>
        <v>0</v>
      </c>
      <c r="U14" s="41">
        <f>T14+Model_2!U66</f>
        <v>0</v>
      </c>
      <c r="V14" s="41">
        <f>U14+Model_2!V66</f>
        <v>0</v>
      </c>
      <c r="W14" s="41">
        <f>V14+Model_2!W66</f>
        <v>0</v>
      </c>
      <c r="X14" s="41">
        <f>W14+Model_2!X66</f>
        <v>0</v>
      </c>
      <c r="Y14" s="41">
        <f>X14+Model_2!Y66</f>
        <v>0</v>
      </c>
      <c r="Z14" s="41">
        <f>Y14+Model_2!Z66</f>
        <v>0</v>
      </c>
      <c r="AA14" s="41">
        <f>Z14+Model_2!AA66</f>
        <v>0</v>
      </c>
      <c r="AB14" s="41">
        <f>AA14+Model_2!AB66</f>
        <v>0</v>
      </c>
      <c r="AC14" s="41">
        <f>AB14+Model_2!AC66</f>
        <v>0</v>
      </c>
      <c r="AD14" s="41">
        <f>AC14+Model_2!AD66</f>
        <v>0</v>
      </c>
      <c r="AE14" s="41">
        <f>AD14+Model_2!AE66</f>
        <v>0</v>
      </c>
      <c r="AF14" s="41">
        <f>AE14+Model_2!AF66</f>
        <v>0</v>
      </c>
      <c r="AG14" s="41">
        <f>AF14+Model_2!AG66</f>
        <v>0</v>
      </c>
      <c r="AH14" s="41">
        <f>AG14+Model_2!AH66</f>
        <v>0</v>
      </c>
      <c r="AI14" s="41">
        <f>AH14+Model_2!AI66</f>
        <v>0</v>
      </c>
      <c r="AJ14" s="41">
        <f>AI14+Model_2!AJ66</f>
        <v>0</v>
      </c>
      <c r="AK14" s="41">
        <f>AJ14+Model_2!AK66</f>
        <v>0</v>
      </c>
      <c r="AL14" s="41">
        <f>AK14+Model_2!AL66</f>
        <v>0</v>
      </c>
      <c r="AM14" s="41">
        <f>AL14+Model_2!AM66</f>
        <v>0</v>
      </c>
      <c r="AN14" s="41">
        <f>AM14+Model_2!AN66</f>
        <v>0</v>
      </c>
      <c r="AO14" s="41">
        <f>AN14+Model_2!AO66</f>
        <v>0</v>
      </c>
      <c r="AP14" s="41">
        <f>AO14+Model_2!AP66</f>
        <v>0</v>
      </c>
      <c r="AQ14" s="41">
        <f>AP14+Model_2!AQ66</f>
        <v>0</v>
      </c>
      <c r="AR14" s="41">
        <f>AQ14+Model_2!AR66</f>
        <v>0</v>
      </c>
      <c r="AS14" s="41">
        <f>AR14+Model_2!AS66</f>
        <v>0</v>
      </c>
      <c r="AT14" s="41">
        <f>AS14+Model_2!AT66</f>
        <v>0</v>
      </c>
      <c r="AU14" s="41">
        <f>AT14+Model_2!AU66</f>
        <v>0</v>
      </c>
      <c r="AV14" s="41">
        <f>AU14+Model_2!AV66</f>
        <v>0</v>
      </c>
      <c r="AW14" s="41">
        <f>AV14+Model_2!AW66</f>
        <v>0</v>
      </c>
      <c r="AX14" s="41">
        <f>AW14+Model_2!AX66</f>
        <v>0</v>
      </c>
      <c r="AY14" s="41">
        <f>AX14+Model_2!AY66</f>
        <v>0</v>
      </c>
      <c r="AZ14" s="41"/>
      <c r="BA14" s="41"/>
      <c r="BB14" s="41"/>
    </row>
    <row r="15" spans="1:54" x14ac:dyDescent="0.45">
      <c r="A15" s="41" t="str">
        <f>Model_2!A67</f>
        <v>Guard rails</v>
      </c>
      <c r="B15" s="41">
        <f>Model_2!B67</f>
        <v>0</v>
      </c>
      <c r="C15" s="41">
        <f>B15+Model_2!C67</f>
        <v>0</v>
      </c>
      <c r="D15" s="41">
        <f>C15+Model_2!D67</f>
        <v>0</v>
      </c>
      <c r="E15" s="41">
        <f>D15+Model_2!E67</f>
        <v>0</v>
      </c>
      <c r="F15" s="41">
        <f>E15+Model_2!F67</f>
        <v>0</v>
      </c>
      <c r="G15" s="41">
        <f>F15+Model_2!G67</f>
        <v>0</v>
      </c>
      <c r="H15" s="41">
        <f>G15+Model_2!H67</f>
        <v>0</v>
      </c>
      <c r="I15" s="41">
        <f>H15+Model_2!I67</f>
        <v>0</v>
      </c>
      <c r="J15" s="41">
        <f>I15+Model_2!J67</f>
        <v>0</v>
      </c>
      <c r="K15" s="41">
        <f>J15+Model_2!K67</f>
        <v>0</v>
      </c>
      <c r="L15" s="41">
        <f>K15+Model_2!L67</f>
        <v>0</v>
      </c>
      <c r="M15" s="41">
        <f>L15+Model_2!M67</f>
        <v>0</v>
      </c>
      <c r="N15" s="41">
        <f>M15+Model_2!N67</f>
        <v>0</v>
      </c>
      <c r="O15" s="41">
        <f>N15+Model_2!O67</f>
        <v>0</v>
      </c>
      <c r="P15" s="41">
        <f>O15+Model_2!P67</f>
        <v>0</v>
      </c>
      <c r="Q15" s="41">
        <f>P15+Model_2!Q67</f>
        <v>0</v>
      </c>
      <c r="R15" s="41">
        <f>Q15+Model_2!R67</f>
        <v>0</v>
      </c>
      <c r="S15" s="41">
        <f>R15+Model_2!S67</f>
        <v>0</v>
      </c>
      <c r="T15" s="41">
        <f>S15+Model_2!T67</f>
        <v>0</v>
      </c>
      <c r="U15" s="41">
        <f>T15+Model_2!U67</f>
        <v>0</v>
      </c>
      <c r="V15" s="41">
        <f>U15+Model_2!V67</f>
        <v>0</v>
      </c>
      <c r="W15" s="41">
        <f>V15+Model_2!W67</f>
        <v>0</v>
      </c>
      <c r="X15" s="41">
        <f>W15+Model_2!X67</f>
        <v>0</v>
      </c>
      <c r="Y15" s="41">
        <f>X15+Model_2!Y67</f>
        <v>0</v>
      </c>
      <c r="Z15" s="41">
        <f>Y15+Model_2!Z67</f>
        <v>0</v>
      </c>
      <c r="AA15" s="41">
        <f>Z15+Model_2!AA67</f>
        <v>0</v>
      </c>
      <c r="AB15" s="41">
        <f>AA15+Model_2!AB67</f>
        <v>0</v>
      </c>
      <c r="AC15" s="41">
        <f>AB15+Model_2!AC67</f>
        <v>0</v>
      </c>
      <c r="AD15" s="41">
        <f>AC15+Model_2!AD67</f>
        <v>0</v>
      </c>
      <c r="AE15" s="41">
        <f>AD15+Model_2!AE67</f>
        <v>0</v>
      </c>
      <c r="AF15" s="41">
        <f>AE15+Model_2!AF67</f>
        <v>0</v>
      </c>
      <c r="AG15" s="41">
        <f>AF15+Model_2!AG67</f>
        <v>0</v>
      </c>
      <c r="AH15" s="41">
        <f>AG15+Model_2!AH67</f>
        <v>0</v>
      </c>
      <c r="AI15" s="41">
        <f>AH15+Model_2!AI67</f>
        <v>0</v>
      </c>
      <c r="AJ15" s="41">
        <f>AI15+Model_2!AJ67</f>
        <v>0</v>
      </c>
      <c r="AK15" s="41">
        <f>AJ15+Model_2!AK67</f>
        <v>0</v>
      </c>
      <c r="AL15" s="41">
        <f>AK15+Model_2!AL67</f>
        <v>0</v>
      </c>
      <c r="AM15" s="41">
        <f>AL15+Model_2!AM67</f>
        <v>0</v>
      </c>
      <c r="AN15" s="41">
        <f>AM15+Model_2!AN67</f>
        <v>0</v>
      </c>
      <c r="AO15" s="41">
        <f>AN15+Model_2!AO67</f>
        <v>0</v>
      </c>
      <c r="AP15" s="41">
        <f>AO15+Model_2!AP67</f>
        <v>0</v>
      </c>
      <c r="AQ15" s="41">
        <f>AP15+Model_2!AQ67</f>
        <v>0</v>
      </c>
      <c r="AR15" s="41">
        <f>AQ15+Model_2!AR67</f>
        <v>0</v>
      </c>
      <c r="AS15" s="41">
        <f>AR15+Model_2!AS67</f>
        <v>0</v>
      </c>
      <c r="AT15" s="41">
        <f>AS15+Model_2!AT67</f>
        <v>0</v>
      </c>
      <c r="AU15" s="41">
        <f>AT15+Model_2!AU67</f>
        <v>0</v>
      </c>
      <c r="AV15" s="41">
        <f>AU15+Model_2!AV67</f>
        <v>0</v>
      </c>
      <c r="AW15" s="41">
        <f>AV15+Model_2!AW67</f>
        <v>0</v>
      </c>
      <c r="AX15" s="41">
        <f>AW15+Model_2!AX67</f>
        <v>0</v>
      </c>
      <c r="AY15" s="41">
        <f>AX15+Model_2!AY67</f>
        <v>0</v>
      </c>
      <c r="AZ15" s="41"/>
      <c r="BA15" s="41"/>
      <c r="BB15" s="41"/>
    </row>
    <row r="16" spans="1:54" x14ac:dyDescent="0.45">
      <c r="A16" s="41" t="str">
        <f>Model_2!A68</f>
        <v>StrataVault or Strata cells ($)</v>
      </c>
      <c r="B16" s="41">
        <f>Model_2!B68</f>
        <v>0</v>
      </c>
      <c r="C16" s="41">
        <f>B16+Model_2!C68</f>
        <v>0</v>
      </c>
      <c r="D16" s="41">
        <f>C16+Model_2!D68</f>
        <v>0</v>
      </c>
      <c r="E16" s="41">
        <f>D16+Model_2!E68</f>
        <v>0</v>
      </c>
      <c r="F16" s="41">
        <f>E16+Model_2!F68</f>
        <v>0</v>
      </c>
      <c r="G16" s="41">
        <f>F16+Model_2!G68</f>
        <v>0</v>
      </c>
      <c r="H16" s="41">
        <f>G16+Model_2!H68</f>
        <v>0</v>
      </c>
      <c r="I16" s="41">
        <f>H16+Model_2!I68</f>
        <v>0</v>
      </c>
      <c r="J16" s="41">
        <f>I16+Model_2!J68</f>
        <v>0</v>
      </c>
      <c r="K16" s="41">
        <f>J16+Model_2!K68</f>
        <v>0</v>
      </c>
      <c r="L16" s="41">
        <f>K16+Model_2!L68</f>
        <v>0</v>
      </c>
      <c r="M16" s="41">
        <f>L16+Model_2!M68</f>
        <v>0</v>
      </c>
      <c r="N16" s="41">
        <f>M16+Model_2!N68</f>
        <v>0</v>
      </c>
      <c r="O16" s="41">
        <f>N16+Model_2!O68</f>
        <v>0</v>
      </c>
      <c r="P16" s="41">
        <f>O16+Model_2!P68</f>
        <v>0</v>
      </c>
      <c r="Q16" s="41">
        <f>P16+Model_2!Q68</f>
        <v>0</v>
      </c>
      <c r="R16" s="41">
        <f>Q16+Model_2!R68</f>
        <v>0</v>
      </c>
      <c r="S16" s="41">
        <f>R16+Model_2!S68</f>
        <v>0</v>
      </c>
      <c r="T16" s="41">
        <f>S16+Model_2!T68</f>
        <v>0</v>
      </c>
      <c r="U16" s="41">
        <f>T16+Model_2!U68</f>
        <v>0</v>
      </c>
      <c r="V16" s="41">
        <f>U16+Model_2!V68</f>
        <v>0</v>
      </c>
      <c r="W16" s="41">
        <f>V16+Model_2!W68</f>
        <v>0</v>
      </c>
      <c r="X16" s="41">
        <f>W16+Model_2!X68</f>
        <v>0</v>
      </c>
      <c r="Y16" s="41">
        <f>X16+Model_2!Y68</f>
        <v>0</v>
      </c>
      <c r="Z16" s="41">
        <f>Y16+Model_2!Z68</f>
        <v>0</v>
      </c>
      <c r="AA16" s="41">
        <f>Z16+Model_2!AA68</f>
        <v>0</v>
      </c>
      <c r="AB16" s="41">
        <f>AA16+Model_2!AB68</f>
        <v>0</v>
      </c>
      <c r="AC16" s="41">
        <f>AB16+Model_2!AC68</f>
        <v>0</v>
      </c>
      <c r="AD16" s="41">
        <f>AC16+Model_2!AD68</f>
        <v>0</v>
      </c>
      <c r="AE16" s="41">
        <f>AD16+Model_2!AE68</f>
        <v>0</v>
      </c>
      <c r="AF16" s="41">
        <f>AE16+Model_2!AF68</f>
        <v>0</v>
      </c>
      <c r="AG16" s="41">
        <f>AF16+Model_2!AG68</f>
        <v>0</v>
      </c>
      <c r="AH16" s="41">
        <f>AG16+Model_2!AH68</f>
        <v>0</v>
      </c>
      <c r="AI16" s="41">
        <f>AH16+Model_2!AI68</f>
        <v>0</v>
      </c>
      <c r="AJ16" s="41">
        <f>AI16+Model_2!AJ68</f>
        <v>0</v>
      </c>
      <c r="AK16" s="41">
        <f>AJ16+Model_2!AK68</f>
        <v>0</v>
      </c>
      <c r="AL16" s="41">
        <f>AK16+Model_2!AL68</f>
        <v>0</v>
      </c>
      <c r="AM16" s="41">
        <f>AL16+Model_2!AM68</f>
        <v>0</v>
      </c>
      <c r="AN16" s="41">
        <f>AM16+Model_2!AN68</f>
        <v>0</v>
      </c>
      <c r="AO16" s="41">
        <f>AN16+Model_2!AO68</f>
        <v>0</v>
      </c>
      <c r="AP16" s="41">
        <f>AO16+Model_2!AP68</f>
        <v>0</v>
      </c>
      <c r="AQ16" s="41">
        <f>AP16+Model_2!AQ68</f>
        <v>0</v>
      </c>
      <c r="AR16" s="41">
        <f>AQ16+Model_2!AR68</f>
        <v>0</v>
      </c>
      <c r="AS16" s="41">
        <f>AR16+Model_2!AS68</f>
        <v>0</v>
      </c>
      <c r="AT16" s="41">
        <f>AS16+Model_2!AT68</f>
        <v>0</v>
      </c>
      <c r="AU16" s="41">
        <f>AT16+Model_2!AU68</f>
        <v>0</v>
      </c>
      <c r="AV16" s="41">
        <f>AU16+Model_2!AV68</f>
        <v>0</v>
      </c>
      <c r="AW16" s="41">
        <f>AV16+Model_2!AW68</f>
        <v>0</v>
      </c>
      <c r="AX16" s="41">
        <f>AW16+Model_2!AX68</f>
        <v>0</v>
      </c>
      <c r="AY16" s="41">
        <f>AX16+Model_2!AY68</f>
        <v>0</v>
      </c>
      <c r="AZ16" s="41"/>
      <c r="BA16" s="41"/>
      <c r="BB16" s="41"/>
    </row>
    <row r="17" spans="1:54" x14ac:dyDescent="0.45">
      <c r="A17" s="41" t="str">
        <f>Model_2!A69</f>
        <v>Watering costs</v>
      </c>
      <c r="B17" s="41">
        <f>Model_2!B69</f>
        <v>4800</v>
      </c>
      <c r="C17" s="41">
        <f>B17+Model_2!C69</f>
        <v>6440</v>
      </c>
      <c r="D17" s="41">
        <f>C17+Model_2!D69</f>
        <v>8121</v>
      </c>
      <c r="E17" s="41">
        <f>D17+Model_2!E69</f>
        <v>9844.0249999999996</v>
      </c>
      <c r="F17" s="41">
        <f>E17+Model_2!F69</f>
        <v>11610.125624999999</v>
      </c>
      <c r="G17" s="41">
        <f>F17+Model_2!G69</f>
        <v>13420.378765624999</v>
      </c>
      <c r="H17" s="41">
        <f>G17+Model_2!H69</f>
        <v>15275.888234765624</v>
      </c>
      <c r="I17" s="41">
        <f>H17+Model_2!I69</f>
        <v>17177.785440634765</v>
      </c>
      <c r="J17" s="41">
        <f>I17+Model_2!J69</f>
        <v>19127.230076650634</v>
      </c>
      <c r="K17" s="41">
        <f>J17+Model_2!K69</f>
        <v>21125.410828566899</v>
      </c>
      <c r="L17" s="41">
        <f>K17+Model_2!L69</f>
        <v>23173.546099281069</v>
      </c>
      <c r="M17" s="41">
        <f>L17+Model_2!M69</f>
        <v>25272.884751763097</v>
      </c>
      <c r="N17" s="41">
        <f>M17+Model_2!N69</f>
        <v>27424.706870557173</v>
      </c>
      <c r="O17" s="41">
        <f>N17+Model_2!O69</f>
        <v>29630.324542321101</v>
      </c>
      <c r="P17" s="41">
        <f>O17+Model_2!P69</f>
        <v>31891.082655879127</v>
      </c>
      <c r="Q17" s="41">
        <f>P17+Model_2!Q69</f>
        <v>34208.359722276102</v>
      </c>
      <c r="R17" s="41">
        <f>Q17+Model_2!R69</f>
        <v>36583.568715333</v>
      </c>
      <c r="S17" s="41">
        <f>R17+Model_2!S69</f>
        <v>39018.157933216324</v>
      </c>
      <c r="T17" s="41">
        <f>S17+Model_2!T69</f>
        <v>41513.611881546727</v>
      </c>
      <c r="U17" s="41">
        <f>T17+Model_2!U69</f>
        <v>44071.452178585394</v>
      </c>
      <c r="V17" s="41">
        <f>U17+Model_2!V69</f>
        <v>46693.238483050023</v>
      </c>
      <c r="W17" s="41">
        <f>V17+Model_2!W69</f>
        <v>49380.569445126268</v>
      </c>
      <c r="X17" s="41">
        <f>W17+Model_2!X69</f>
        <v>52135.083681254422</v>
      </c>
      <c r="Y17" s="41">
        <f>X17+Model_2!Y69</f>
        <v>54958.460773285784</v>
      </c>
      <c r="Z17" s="41">
        <f>Y17+Model_2!Z69</f>
        <v>57852.422292617928</v>
      </c>
      <c r="AA17" s="41">
        <f>Z17+Model_2!AA69</f>
        <v>60818.732849933374</v>
      </c>
      <c r="AB17" s="41">
        <f>AA17+Model_2!AB69</f>
        <v>63859.201171181703</v>
      </c>
      <c r="AC17" s="41">
        <f>AB17+Model_2!AC69</f>
        <v>66975.681200461244</v>
      </c>
      <c r="AD17" s="41">
        <f>AC17+Model_2!AD69</f>
        <v>70170.073230472772</v>
      </c>
      <c r="AE17" s="41">
        <f>AD17+Model_2!AE69</f>
        <v>73444.325061234587</v>
      </c>
      <c r="AF17" s="41">
        <f>AE17+Model_2!AF69</f>
        <v>76800.433187765448</v>
      </c>
      <c r="AG17" s="41">
        <f>AF17+Model_2!AG69</f>
        <v>80240.44401745958</v>
      </c>
      <c r="AH17" s="41">
        <f>AG17+Model_2!AH69</f>
        <v>83766.455117896068</v>
      </c>
      <c r="AI17" s="41">
        <f>AH17+Model_2!AI69</f>
        <v>87380.616495843467</v>
      </c>
      <c r="AJ17" s="41">
        <f>AI17+Model_2!AJ69</f>
        <v>91085.131908239549</v>
      </c>
      <c r="AK17" s="41">
        <f>AJ17+Model_2!AK69</f>
        <v>94882.260205945538</v>
      </c>
      <c r="AL17" s="41">
        <f>AK17+Model_2!AL69</f>
        <v>98774.316711094172</v>
      </c>
      <c r="AM17" s="41">
        <f>AL17+Model_2!AM69</f>
        <v>102763.67462887152</v>
      </c>
      <c r="AN17" s="41">
        <f>AM17+Model_2!AN69</f>
        <v>106852.76649459331</v>
      </c>
      <c r="AO17" s="41">
        <f>AN17+Model_2!AO69</f>
        <v>111044.08565695814</v>
      </c>
      <c r="AP17" s="41">
        <f>AO17+Model_2!AP69</f>
        <v>115340.18779838209</v>
      </c>
      <c r="AQ17" s="41">
        <f>AP17+Model_2!AQ69</f>
        <v>119743.69249334163</v>
      </c>
      <c r="AR17" s="41">
        <f>AQ17+Model_2!AR69</f>
        <v>124257.28480567517</v>
      </c>
      <c r="AS17" s="41">
        <f>AR17+Model_2!AS69</f>
        <v>128883.71692581705</v>
      </c>
      <c r="AT17" s="41">
        <f>AS17+Model_2!AT69</f>
        <v>133625.80984896247</v>
      </c>
      <c r="AU17" s="41">
        <f>AT17+Model_2!AU69</f>
        <v>138486.45509518651</v>
      </c>
      <c r="AV17" s="41">
        <f>AU17+Model_2!AV69</f>
        <v>143468.61647256615</v>
      </c>
      <c r="AW17" s="41">
        <f>AV17+Model_2!AW69</f>
        <v>148575.33188438028</v>
      </c>
      <c r="AX17" s="41">
        <f>AW17+Model_2!AX69</f>
        <v>153809.7151814898</v>
      </c>
      <c r="AY17" s="41">
        <f>AX17+Model_2!AY69</f>
        <v>159174.95806102702</v>
      </c>
      <c r="AZ17" s="41"/>
      <c r="BA17" s="41"/>
      <c r="BB17" s="41"/>
    </row>
    <row r="18" spans="1:54" x14ac:dyDescent="0.45">
      <c r="A18" s="41" t="str">
        <f>Model_2!A70</f>
        <v>Maintenance</v>
      </c>
      <c r="B18" s="41">
        <f>Model_2!B70</f>
        <v>13299</v>
      </c>
      <c r="C18" s="41">
        <f>B18+Model_2!C70</f>
        <v>16896.75</v>
      </c>
      <c r="D18" s="41">
        <f>C18+Model_2!D70</f>
        <v>19662.520312500001</v>
      </c>
      <c r="E18" s="41">
        <f>D18+Model_2!E70</f>
        <v>22497.4348828125</v>
      </c>
      <c r="F18" s="41">
        <f>E18+Model_2!F70</f>
        <v>25403.22231738281</v>
      </c>
      <c r="G18" s="41">
        <f>F18+Model_2!G70</f>
        <v>28381.654437817378</v>
      </c>
      <c r="H18" s="41">
        <f>G18+Model_2!H70</f>
        <v>31434.547361262812</v>
      </c>
      <c r="I18" s="41">
        <f>H18+Model_2!I70</f>
        <v>34563.762607794379</v>
      </c>
      <c r="J18" s="41">
        <f>I18+Model_2!J70</f>
        <v>37771.208235489234</v>
      </c>
      <c r="K18" s="41">
        <f>J18+Model_2!K70</f>
        <v>41058.840003876459</v>
      </c>
      <c r="L18" s="41">
        <f>K18+Model_2!L70</f>
        <v>44428.662566473366</v>
      </c>
      <c r="M18" s="41">
        <f>L18+Model_2!M70</f>
        <v>47882.7306931352</v>
      </c>
      <c r="N18" s="41">
        <f>M18+Model_2!N70</f>
        <v>51423.15052296358</v>
      </c>
      <c r="O18" s="41">
        <f>N18+Model_2!O70</f>
        <v>55052.080848537669</v>
      </c>
      <c r="P18" s="41">
        <f>O18+Model_2!P70</f>
        <v>58771.734432251105</v>
      </c>
      <c r="Q18" s="41">
        <f>P18+Model_2!Q70</f>
        <v>62584.379355557379</v>
      </c>
      <c r="R18" s="41">
        <f>Q18+Model_2!R70</f>
        <v>66492.340401946305</v>
      </c>
      <c r="S18" s="41">
        <f>R18+Model_2!S70</f>
        <v>70498.000474494955</v>
      </c>
      <c r="T18" s="41">
        <f>S18+Model_2!T70</f>
        <v>74603.802048857324</v>
      </c>
      <c r="U18" s="41">
        <f>T18+Model_2!U70</f>
        <v>78812.248662578757</v>
      </c>
      <c r="V18" s="41">
        <f>U18+Model_2!V70</f>
        <v>83125.906441643223</v>
      </c>
      <c r="W18" s="41">
        <f>V18+Model_2!W70</f>
        <v>87547.405665184298</v>
      </c>
      <c r="X18" s="41">
        <f>W18+Model_2!X70</f>
        <v>92079.442369313896</v>
      </c>
      <c r="Y18" s="41">
        <f>X18+Model_2!Y70</f>
        <v>96724.779991046744</v>
      </c>
      <c r="Z18" s="41">
        <f>Y18+Model_2!Z70</f>
        <v>101486.25105332291</v>
      </c>
      <c r="AA18" s="41">
        <f>Z18+Model_2!AA70</f>
        <v>106366.75889215598</v>
      </c>
      <c r="AB18" s="41">
        <f>AA18+Model_2!AB70</f>
        <v>111369.27942695987</v>
      </c>
      <c r="AC18" s="41">
        <f>AB18+Model_2!AC70</f>
        <v>116496.86297513386</v>
      </c>
      <c r="AD18" s="41">
        <f>AC18+Model_2!AD70</f>
        <v>121752.6361120122</v>
      </c>
      <c r="AE18" s="41">
        <f>AD18+Model_2!AE70</f>
        <v>127139.8035773125</v>
      </c>
      <c r="AF18" s="41">
        <f>AE18+Model_2!AF70</f>
        <v>132661.65022924531</v>
      </c>
      <c r="AG18" s="41">
        <f>AF18+Model_2!AG70</f>
        <v>138321.54304747644</v>
      </c>
      <c r="AH18" s="41">
        <f>AG18+Model_2!AH70</f>
        <v>144122.93318616334</v>
      </c>
      <c r="AI18" s="41">
        <f>AH18+Model_2!AI70</f>
        <v>150069.35807831743</v>
      </c>
      <c r="AJ18" s="41">
        <f>AI18+Model_2!AJ70</f>
        <v>156164.44359277535</v>
      </c>
      <c r="AK18" s="41">
        <f>AJ18+Model_2!AK70</f>
        <v>162411.90624509472</v>
      </c>
      <c r="AL18" s="41">
        <f>AK18+Model_2!AL70</f>
        <v>168815.55546372209</v>
      </c>
      <c r="AM18" s="41">
        <f>AL18+Model_2!AM70</f>
        <v>175379.29591281514</v>
      </c>
      <c r="AN18" s="41">
        <f>AM18+Model_2!AN70</f>
        <v>182107.12987313551</v>
      </c>
      <c r="AO18" s="41">
        <f>AN18+Model_2!AO70</f>
        <v>189003.15968246388</v>
      </c>
      <c r="AP18" s="41">
        <f>AO18+Model_2!AP70</f>
        <v>196071.59023702546</v>
      </c>
      <c r="AQ18" s="41">
        <f>AP18+Model_2!AQ70</f>
        <v>203316.73155545109</v>
      </c>
      <c r="AR18" s="41">
        <f>AQ18+Model_2!AR70</f>
        <v>210743.00140683734</v>
      </c>
      <c r="AS18" s="41">
        <f>AR18+Model_2!AS70</f>
        <v>218354.92800450826</v>
      </c>
      <c r="AT18" s="41">
        <f>AS18+Model_2!AT70</f>
        <v>226157.15276712095</v>
      </c>
      <c r="AU18" s="41">
        <f>AT18+Model_2!AU70</f>
        <v>234154.43314879897</v>
      </c>
      <c r="AV18" s="41">
        <f>AU18+Model_2!AV70</f>
        <v>242351.64554001894</v>
      </c>
      <c r="AW18" s="41">
        <f>AV18+Model_2!AW70</f>
        <v>250753.78824101941</v>
      </c>
      <c r="AX18" s="41">
        <f>AW18+Model_2!AX70</f>
        <v>259365.98450954488</v>
      </c>
      <c r="AY18" s="41">
        <f>AX18+Model_2!AY70</f>
        <v>268193.48568478349</v>
      </c>
      <c r="AZ18" s="41"/>
      <c r="BA18" s="41"/>
      <c r="BB18" s="41"/>
    </row>
    <row r="19" spans="1:54" x14ac:dyDescent="0.45">
      <c r="A19" s="41" t="str">
        <f>Model_2!A71</f>
        <v>Arborist tree health inspection ($)</v>
      </c>
      <c r="B19" s="41">
        <f>Model_2!B71</f>
        <v>500</v>
      </c>
      <c r="C19" s="41">
        <f>B19+Model_2!C71</f>
        <v>1012.5</v>
      </c>
      <c r="D19" s="41">
        <f>C19+Model_2!D71</f>
        <v>1537.8125</v>
      </c>
      <c r="E19" s="41">
        <f>D19+Model_2!E71</f>
        <v>2076.2578125</v>
      </c>
      <c r="F19" s="41">
        <f>E19+Model_2!F71</f>
        <v>2628.1642578124997</v>
      </c>
      <c r="G19" s="41">
        <f>F19+Model_2!G71</f>
        <v>3193.8683642578121</v>
      </c>
      <c r="H19" s="41">
        <f>G19+Model_2!H71</f>
        <v>3773.7150733642575</v>
      </c>
      <c r="I19" s="41">
        <f>H19+Model_2!I71</f>
        <v>4368.0579501983639</v>
      </c>
      <c r="J19" s="41">
        <f>I19+Model_2!J71</f>
        <v>4977.2593989533225</v>
      </c>
      <c r="K19" s="41">
        <f>J19+Model_2!K71</f>
        <v>5601.6908839271555</v>
      </c>
      <c r="L19" s="41">
        <f>K19+Model_2!L71</f>
        <v>6241.7331560253342</v>
      </c>
      <c r="M19" s="41">
        <f>L19+Model_2!M71</f>
        <v>6897.7764849259675</v>
      </c>
      <c r="N19" s="41">
        <f>M19+Model_2!N71</f>
        <v>7570.2208970491165</v>
      </c>
      <c r="O19" s="41">
        <f>N19+Model_2!O71</f>
        <v>8259.4764194753443</v>
      </c>
      <c r="P19" s="41">
        <f>O19+Model_2!P71</f>
        <v>8965.9633299622274</v>
      </c>
      <c r="Q19" s="41">
        <f>P19+Model_2!Q71</f>
        <v>9690.1124132112818</v>
      </c>
      <c r="R19" s="41">
        <f>Q19+Model_2!R71</f>
        <v>10432.365223541563</v>
      </c>
      <c r="S19" s="41">
        <f>R19+Model_2!S71</f>
        <v>11193.174354130102</v>
      </c>
      <c r="T19" s="41">
        <f>S19+Model_2!T71</f>
        <v>11973.003712983354</v>
      </c>
      <c r="U19" s="41">
        <f>T19+Model_2!U71</f>
        <v>12772.328805807938</v>
      </c>
      <c r="V19" s="41">
        <f>U19+Model_2!V71</f>
        <v>13591.637025953136</v>
      </c>
      <c r="W19" s="41">
        <f>V19+Model_2!W71</f>
        <v>14431.427951601963</v>
      </c>
      <c r="X19" s="41">
        <f>W19+Model_2!X71</f>
        <v>15292.213650392012</v>
      </c>
      <c r="Y19" s="41">
        <f>X19+Model_2!Y71</f>
        <v>16174.518991651812</v>
      </c>
      <c r="Z19" s="41">
        <f>Y19+Model_2!Z71</f>
        <v>17078.881966443107</v>
      </c>
      <c r="AA19" s="41">
        <f>Z19+Model_2!AA71</f>
        <v>18005.854015604182</v>
      </c>
      <c r="AB19" s="41">
        <f>AA19+Model_2!AB71</f>
        <v>18956.000365994285</v>
      </c>
      <c r="AC19" s="41">
        <f>AB19+Model_2!AC71</f>
        <v>19929.900375144141</v>
      </c>
      <c r="AD19" s="41">
        <f>AC19+Model_2!AD71</f>
        <v>20928.147884522743</v>
      </c>
      <c r="AE19" s="41">
        <f>AD19+Model_2!AE71</f>
        <v>21951.351581635812</v>
      </c>
      <c r="AF19" s="41">
        <f>AE19+Model_2!AF71</f>
        <v>23000.135371176708</v>
      </c>
      <c r="AG19" s="41">
        <f>AF19+Model_2!AG71</f>
        <v>24075.138755456126</v>
      </c>
      <c r="AH19" s="41">
        <f>AG19+Model_2!AH71</f>
        <v>25177.01722434253</v>
      </c>
      <c r="AI19" s="41">
        <f>AH19+Model_2!AI71</f>
        <v>26306.44265495109</v>
      </c>
      <c r="AJ19" s="41">
        <f>AI19+Model_2!AJ71</f>
        <v>27464.103721324867</v>
      </c>
      <c r="AK19" s="41">
        <f>AJ19+Model_2!AK71</f>
        <v>28650.706314357987</v>
      </c>
      <c r="AL19" s="41">
        <f>AK19+Model_2!AL71</f>
        <v>29866.973972216936</v>
      </c>
      <c r="AM19" s="41">
        <f>AL19+Model_2!AM71</f>
        <v>31113.648321522356</v>
      </c>
      <c r="AN19" s="41">
        <f>AM19+Model_2!AN71</f>
        <v>32391.489529560415</v>
      </c>
      <c r="AO19" s="41">
        <f>AN19+Model_2!AO71</f>
        <v>33701.27676779942</v>
      </c>
      <c r="AP19" s="41">
        <f>AO19+Model_2!AP71</f>
        <v>35043.808686994402</v>
      </c>
      <c r="AQ19" s="41">
        <f>AP19+Model_2!AQ71</f>
        <v>36419.903904169259</v>
      </c>
      <c r="AR19" s="41">
        <f>AQ19+Model_2!AR71</f>
        <v>37830.401501773486</v>
      </c>
      <c r="AS19" s="41">
        <f>AR19+Model_2!AS71</f>
        <v>39276.161539317822</v>
      </c>
      <c r="AT19" s="41">
        <f>AS19+Model_2!AT71</f>
        <v>40758.065577800764</v>
      </c>
      <c r="AU19" s="41">
        <f>AT19+Model_2!AU71</f>
        <v>42277.017217245782</v>
      </c>
      <c r="AV19" s="41">
        <f>AU19+Model_2!AV71</f>
        <v>43833.942647676922</v>
      </c>
      <c r="AW19" s="41">
        <f>AV19+Model_2!AW71</f>
        <v>45429.791213868841</v>
      </c>
      <c r="AX19" s="41">
        <f>AW19+Model_2!AX71</f>
        <v>47065.535994215563</v>
      </c>
      <c r="AY19" s="41">
        <f>AX19+Model_2!AY71</f>
        <v>48742.174394070949</v>
      </c>
      <c r="AZ19" s="41"/>
      <c r="BA19" s="41"/>
      <c r="BB19" s="41"/>
    </row>
    <row r="20" spans="1:54" x14ac:dyDescent="0.45">
      <c r="A20" s="41" t="str">
        <f>Model_2!A72</f>
        <v>Visual tree inspection ($)</v>
      </c>
      <c r="B20" s="41">
        <f>Model_2!B72</f>
        <v>300</v>
      </c>
      <c r="C20" s="41">
        <f>B20+Model_2!C72</f>
        <v>607.5</v>
      </c>
      <c r="D20" s="41">
        <f>C20+Model_2!D72</f>
        <v>922.6875</v>
      </c>
      <c r="E20" s="41">
        <f>D20+Model_2!E72</f>
        <v>1245.7546875</v>
      </c>
      <c r="F20" s="41">
        <f>E20+Model_2!F72</f>
        <v>1576.8985546875001</v>
      </c>
      <c r="G20" s="41">
        <f>F20+Model_2!G72</f>
        <v>1916.3210185546875</v>
      </c>
      <c r="H20" s="41">
        <f>G20+Model_2!H72</f>
        <v>2264.2290440185543</v>
      </c>
      <c r="I20" s="41">
        <f>H20+Model_2!I72</f>
        <v>2620.8347701190182</v>
      </c>
      <c r="J20" s="41">
        <f>I20+Model_2!J72</f>
        <v>2986.3556393719937</v>
      </c>
      <c r="K20" s="41">
        <f>J20+Model_2!K72</f>
        <v>3361.0145303562931</v>
      </c>
      <c r="L20" s="41">
        <f>K20+Model_2!L72</f>
        <v>3745.0398936152001</v>
      </c>
      <c r="M20" s="41">
        <f>L20+Model_2!M72</f>
        <v>4138.6658909555799</v>
      </c>
      <c r="N20" s="41">
        <f>M20+Model_2!N72</f>
        <v>4542.132538229469</v>
      </c>
      <c r="O20" s="41">
        <f>N20+Model_2!O72</f>
        <v>4955.6858516852053</v>
      </c>
      <c r="P20" s="41">
        <f>O20+Model_2!P72</f>
        <v>5379.5779979773351</v>
      </c>
      <c r="Q20" s="41">
        <f>P20+Model_2!Q72</f>
        <v>5814.0674479267682</v>
      </c>
      <c r="R20" s="41">
        <f>Q20+Model_2!R72</f>
        <v>6259.419134124937</v>
      </c>
      <c r="S20" s="41">
        <f>R20+Model_2!S72</f>
        <v>6715.9046124780598</v>
      </c>
      <c r="T20" s="41">
        <f>S20+Model_2!T72</f>
        <v>7183.8022277900109</v>
      </c>
      <c r="U20" s="41">
        <f>T20+Model_2!U72</f>
        <v>7663.3972834847609</v>
      </c>
      <c r="V20" s="41">
        <f>U20+Model_2!V72</f>
        <v>8154.9822155718794</v>
      </c>
      <c r="W20" s="41">
        <f>V20+Model_2!W72</f>
        <v>8658.8567709611762</v>
      </c>
      <c r="X20" s="41">
        <f>W20+Model_2!X72</f>
        <v>9175.3281902352046</v>
      </c>
      <c r="Y20" s="41">
        <f>X20+Model_2!Y72</f>
        <v>9704.7113949910836</v>
      </c>
      <c r="Z20" s="41">
        <f>Y20+Model_2!Z72</f>
        <v>10247.329179865861</v>
      </c>
      <c r="AA20" s="41">
        <f>Z20+Model_2!AA72</f>
        <v>10803.512409362507</v>
      </c>
      <c r="AB20" s="41">
        <f>AA20+Model_2!AB72</f>
        <v>11373.60021959657</v>
      </c>
      <c r="AC20" s="41">
        <f>AB20+Model_2!AC72</f>
        <v>11957.940225086484</v>
      </c>
      <c r="AD20" s="41">
        <f>AC20+Model_2!AD72</f>
        <v>12556.888730713647</v>
      </c>
      <c r="AE20" s="41">
        <f>AD20+Model_2!AE72</f>
        <v>13170.810948981487</v>
      </c>
      <c r="AF20" s="41">
        <f>AE20+Model_2!AF72</f>
        <v>13800.081222706023</v>
      </c>
      <c r="AG20" s="41">
        <f>AF20+Model_2!AG72</f>
        <v>14445.083253273673</v>
      </c>
      <c r="AH20" s="41">
        <f>AG20+Model_2!AH72</f>
        <v>15106.210334605514</v>
      </c>
      <c r="AI20" s="41">
        <f>AH20+Model_2!AI72</f>
        <v>15783.865592970651</v>
      </c>
      <c r="AJ20" s="41">
        <f>AI20+Model_2!AJ72</f>
        <v>16478.462232794918</v>
      </c>
      <c r="AK20" s="41">
        <f>AJ20+Model_2!AK72</f>
        <v>17190.423788614789</v>
      </c>
      <c r="AL20" s="41">
        <f>AK20+Model_2!AL72</f>
        <v>17920.184383330157</v>
      </c>
      <c r="AM20" s="41">
        <f>AL20+Model_2!AM72</f>
        <v>18668.188992913409</v>
      </c>
      <c r="AN20" s="41">
        <f>AM20+Model_2!AN72</f>
        <v>19434.893717736242</v>
      </c>
      <c r="AO20" s="41">
        <f>AN20+Model_2!AO72</f>
        <v>20220.766060679649</v>
      </c>
      <c r="AP20" s="41">
        <f>AO20+Model_2!AP72</f>
        <v>21026.285212196639</v>
      </c>
      <c r="AQ20" s="41">
        <f>AP20+Model_2!AQ72</f>
        <v>21851.942342501552</v>
      </c>
      <c r="AR20" s="41">
        <f>AQ20+Model_2!AR72</f>
        <v>22698.240901064091</v>
      </c>
      <c r="AS20" s="41">
        <f>AR20+Model_2!AS72</f>
        <v>23565.696923590691</v>
      </c>
      <c r="AT20" s="41">
        <f>AS20+Model_2!AT72</f>
        <v>24454.839346680455</v>
      </c>
      <c r="AU20" s="41">
        <f>AT20+Model_2!AU72</f>
        <v>25366.210330347465</v>
      </c>
      <c r="AV20" s="41">
        <f>AU20+Model_2!AV72</f>
        <v>26300.36558860615</v>
      </c>
      <c r="AW20" s="41">
        <f>AV20+Model_2!AW72</f>
        <v>27257.874728321302</v>
      </c>
      <c r="AX20" s="41">
        <f>AW20+Model_2!AX72</f>
        <v>28239.321596529331</v>
      </c>
      <c r="AY20" s="41">
        <f>AX20+Model_2!AY72</f>
        <v>29245.304636442565</v>
      </c>
      <c r="AZ20" s="41"/>
      <c r="BA20" s="41"/>
      <c r="BB20" s="41"/>
    </row>
    <row r="21" spans="1:54" x14ac:dyDescent="0.45">
      <c r="A21" s="41" t="str">
        <f>Model_2!A73</f>
        <v>GIS mapping and inventory assessment ($)</v>
      </c>
      <c r="B21" s="41">
        <f>Model_2!B73</f>
        <v>240</v>
      </c>
      <c r="C21" s="41">
        <f>B21+Model_2!C73</f>
        <v>240</v>
      </c>
      <c r="D21" s="41">
        <f>C21+Model_2!D73</f>
        <v>240</v>
      </c>
      <c r="E21" s="41">
        <f>D21+Model_2!E73</f>
        <v>240</v>
      </c>
      <c r="F21" s="41">
        <f>E21+Model_2!F73</f>
        <v>240</v>
      </c>
      <c r="G21" s="41">
        <f>F21+Model_2!G73</f>
        <v>240</v>
      </c>
      <c r="H21" s="41">
        <f>G21+Model_2!H73</f>
        <v>240</v>
      </c>
      <c r="I21" s="41">
        <f>H21+Model_2!I73</f>
        <v>240</v>
      </c>
      <c r="J21" s="41">
        <f>I21+Model_2!J73</f>
        <v>240</v>
      </c>
      <c r="K21" s="41">
        <f>J21+Model_2!K73</f>
        <v>240</v>
      </c>
      <c r="L21" s="41">
        <f>K21+Model_2!L73</f>
        <v>240</v>
      </c>
      <c r="M21" s="41">
        <f>L21+Model_2!M73</f>
        <v>240</v>
      </c>
      <c r="N21" s="41">
        <f>M21+Model_2!N73</f>
        <v>240</v>
      </c>
      <c r="O21" s="41">
        <f>N21+Model_2!O73</f>
        <v>240</v>
      </c>
      <c r="P21" s="41">
        <f>O21+Model_2!P73</f>
        <v>240</v>
      </c>
      <c r="Q21" s="41">
        <f>P21+Model_2!Q73</f>
        <v>240</v>
      </c>
      <c r="R21" s="41">
        <f>Q21+Model_2!R73</f>
        <v>240</v>
      </c>
      <c r="S21" s="41">
        <f>R21+Model_2!S73</f>
        <v>240</v>
      </c>
      <c r="T21" s="41">
        <f>S21+Model_2!T73</f>
        <v>240</v>
      </c>
      <c r="U21" s="41">
        <f>T21+Model_2!U73</f>
        <v>240</v>
      </c>
      <c r="V21" s="41">
        <f>U21+Model_2!V73</f>
        <v>240</v>
      </c>
      <c r="W21" s="41">
        <f>V21+Model_2!W73</f>
        <v>240</v>
      </c>
      <c r="X21" s="41">
        <f>W21+Model_2!X73</f>
        <v>240</v>
      </c>
      <c r="Y21" s="41">
        <f>X21+Model_2!Y73</f>
        <v>240</v>
      </c>
      <c r="Z21" s="41">
        <f>Y21+Model_2!Z73</f>
        <v>240</v>
      </c>
      <c r="AA21" s="41">
        <f>Z21+Model_2!AA73</f>
        <v>240</v>
      </c>
      <c r="AB21" s="41">
        <f>AA21+Model_2!AB73</f>
        <v>240</v>
      </c>
      <c r="AC21" s="41">
        <f>AB21+Model_2!AC73</f>
        <v>240</v>
      </c>
      <c r="AD21" s="41">
        <f>AC21+Model_2!AD73</f>
        <v>240</v>
      </c>
      <c r="AE21" s="41">
        <f>AD21+Model_2!AE73</f>
        <v>240</v>
      </c>
      <c r="AF21" s="41">
        <f>AE21+Model_2!AF73</f>
        <v>240</v>
      </c>
      <c r="AG21" s="41">
        <f>AF21+Model_2!AG73</f>
        <v>240</v>
      </c>
      <c r="AH21" s="41">
        <f>AG21+Model_2!AH73</f>
        <v>240</v>
      </c>
      <c r="AI21" s="41">
        <f>AH21+Model_2!AI73</f>
        <v>240</v>
      </c>
      <c r="AJ21" s="41">
        <f>AI21+Model_2!AJ73</f>
        <v>240</v>
      </c>
      <c r="AK21" s="41">
        <f>AJ21+Model_2!AK73</f>
        <v>240</v>
      </c>
      <c r="AL21" s="41">
        <f>AK21+Model_2!AL73</f>
        <v>240</v>
      </c>
      <c r="AM21" s="41">
        <f>AL21+Model_2!AM73</f>
        <v>240</v>
      </c>
      <c r="AN21" s="41">
        <f>AM21+Model_2!AN73</f>
        <v>240</v>
      </c>
      <c r="AO21" s="41">
        <f>AN21+Model_2!AO73</f>
        <v>240</v>
      </c>
      <c r="AP21" s="41">
        <f>AO21+Model_2!AP73</f>
        <v>240</v>
      </c>
      <c r="AQ21" s="41">
        <f>AP21+Model_2!AQ73</f>
        <v>240</v>
      </c>
      <c r="AR21" s="41">
        <f>AQ21+Model_2!AR73</f>
        <v>240</v>
      </c>
      <c r="AS21" s="41">
        <f>AR21+Model_2!AS73</f>
        <v>240</v>
      </c>
      <c r="AT21" s="41">
        <f>AS21+Model_2!AT73</f>
        <v>240</v>
      </c>
      <c r="AU21" s="41">
        <f>AT21+Model_2!AU73</f>
        <v>240</v>
      </c>
      <c r="AV21" s="41">
        <f>AU21+Model_2!AV73</f>
        <v>240</v>
      </c>
      <c r="AW21" s="41">
        <f>AV21+Model_2!AW73</f>
        <v>240</v>
      </c>
      <c r="AX21" s="41">
        <f>AW21+Model_2!AX73</f>
        <v>240</v>
      </c>
      <c r="AY21" s="41">
        <f>AX21+Model_2!AY73</f>
        <v>240</v>
      </c>
      <c r="AZ21" s="41"/>
      <c r="BA21" s="41"/>
      <c r="BB21" s="41"/>
    </row>
    <row r="22" spans="1:54" x14ac:dyDescent="0.45">
      <c r="A22" s="41" t="str">
        <f>Model_2!A74</f>
        <v>User specified cost item 1 ($/tree in Year 1 only)</v>
      </c>
      <c r="B22" s="41">
        <f>Model_2!B74</f>
        <v>0</v>
      </c>
      <c r="C22" s="41">
        <f>B22+Model_2!C74</f>
        <v>0</v>
      </c>
      <c r="D22" s="41">
        <f>C22+Model_2!D74</f>
        <v>0</v>
      </c>
      <c r="E22" s="41">
        <f>D22+Model_2!E74</f>
        <v>0</v>
      </c>
      <c r="F22" s="41">
        <f>E22+Model_2!F74</f>
        <v>0</v>
      </c>
      <c r="G22" s="41">
        <f>F22+Model_2!G74</f>
        <v>0</v>
      </c>
      <c r="H22" s="41">
        <f>G22+Model_2!H74</f>
        <v>0</v>
      </c>
      <c r="I22" s="41">
        <f>H22+Model_2!I74</f>
        <v>0</v>
      </c>
      <c r="J22" s="41">
        <f>I22+Model_2!J74</f>
        <v>0</v>
      </c>
      <c r="K22" s="41">
        <f>J22+Model_2!K74</f>
        <v>0</v>
      </c>
      <c r="L22" s="41">
        <f>K22+Model_2!L74</f>
        <v>0</v>
      </c>
      <c r="M22" s="41">
        <f>L22+Model_2!M74</f>
        <v>0</v>
      </c>
      <c r="N22" s="41">
        <f>M22+Model_2!N74</f>
        <v>0</v>
      </c>
      <c r="O22" s="41">
        <f>N22+Model_2!O74</f>
        <v>0</v>
      </c>
      <c r="P22" s="41">
        <f>O22+Model_2!P74</f>
        <v>0</v>
      </c>
      <c r="Q22" s="41">
        <f>P22+Model_2!Q74</f>
        <v>0</v>
      </c>
      <c r="R22" s="41">
        <f>Q22+Model_2!R74</f>
        <v>0</v>
      </c>
      <c r="S22" s="41">
        <f>R22+Model_2!S74</f>
        <v>0</v>
      </c>
      <c r="T22" s="41">
        <f>S22+Model_2!T74</f>
        <v>0</v>
      </c>
      <c r="U22" s="41">
        <f>T22+Model_2!U74</f>
        <v>0</v>
      </c>
      <c r="V22" s="41">
        <f>U22+Model_2!V74</f>
        <v>0</v>
      </c>
      <c r="W22" s="41">
        <f>V22+Model_2!W74</f>
        <v>0</v>
      </c>
      <c r="X22" s="41">
        <f>W22+Model_2!X74</f>
        <v>0</v>
      </c>
      <c r="Y22" s="41">
        <f>X22+Model_2!Y74</f>
        <v>0</v>
      </c>
      <c r="Z22" s="41">
        <f>Y22+Model_2!Z74</f>
        <v>0</v>
      </c>
      <c r="AA22" s="41">
        <f>Z22+Model_2!AA74</f>
        <v>0</v>
      </c>
      <c r="AB22" s="41">
        <f>AA22+Model_2!AB74</f>
        <v>0</v>
      </c>
      <c r="AC22" s="41">
        <f>AB22+Model_2!AC74</f>
        <v>0</v>
      </c>
      <c r="AD22" s="41">
        <f>AC22+Model_2!AD74</f>
        <v>0</v>
      </c>
      <c r="AE22" s="41">
        <f>AD22+Model_2!AE74</f>
        <v>0</v>
      </c>
      <c r="AF22" s="41">
        <f>AE22+Model_2!AF74</f>
        <v>0</v>
      </c>
      <c r="AG22" s="41">
        <f>AF22+Model_2!AG74</f>
        <v>0</v>
      </c>
      <c r="AH22" s="41">
        <f>AG22+Model_2!AH74</f>
        <v>0</v>
      </c>
      <c r="AI22" s="41">
        <f>AH22+Model_2!AI74</f>
        <v>0</v>
      </c>
      <c r="AJ22" s="41">
        <f>AI22+Model_2!AJ74</f>
        <v>0</v>
      </c>
      <c r="AK22" s="41">
        <f>AJ22+Model_2!AK74</f>
        <v>0</v>
      </c>
      <c r="AL22" s="41">
        <f>AK22+Model_2!AL74</f>
        <v>0</v>
      </c>
      <c r="AM22" s="41">
        <f>AL22+Model_2!AM74</f>
        <v>0</v>
      </c>
      <c r="AN22" s="41">
        <f>AM22+Model_2!AN74</f>
        <v>0</v>
      </c>
      <c r="AO22" s="41">
        <f>AN22+Model_2!AO74</f>
        <v>0</v>
      </c>
      <c r="AP22" s="41">
        <f>AO22+Model_2!AP74</f>
        <v>0</v>
      </c>
      <c r="AQ22" s="41">
        <f>AP22+Model_2!AQ74</f>
        <v>0</v>
      </c>
      <c r="AR22" s="41">
        <f>AQ22+Model_2!AR74</f>
        <v>0</v>
      </c>
      <c r="AS22" s="41">
        <f>AR22+Model_2!AS74</f>
        <v>0</v>
      </c>
      <c r="AT22" s="41">
        <f>AS22+Model_2!AT74</f>
        <v>0</v>
      </c>
      <c r="AU22" s="41">
        <f>AT22+Model_2!AU74</f>
        <v>0</v>
      </c>
      <c r="AV22" s="41">
        <f>AU22+Model_2!AV74</f>
        <v>0</v>
      </c>
      <c r="AW22" s="41">
        <f>AV22+Model_2!AW74</f>
        <v>0</v>
      </c>
      <c r="AX22" s="41">
        <f>AW22+Model_2!AX74</f>
        <v>0</v>
      </c>
      <c r="AY22" s="41">
        <f>AX22+Model_2!AY74</f>
        <v>0</v>
      </c>
      <c r="AZ22" s="41"/>
      <c r="BA22" s="41"/>
      <c r="BB22" s="41"/>
    </row>
    <row r="23" spans="1:54" x14ac:dyDescent="0.45">
      <c r="A23" s="41" t="str">
        <f>Model_2!A75</f>
        <v>User specified cost item 2 ($/tree per annum up to year 2)</v>
      </c>
      <c r="B23" s="41">
        <f>Model_2!B75</f>
        <v>0</v>
      </c>
      <c r="C23" s="41">
        <f>B23+Model_2!C75</f>
        <v>0</v>
      </c>
      <c r="D23" s="41">
        <f>C23+Model_2!D75</f>
        <v>0</v>
      </c>
      <c r="E23" s="41">
        <f>D23+Model_2!E75</f>
        <v>0</v>
      </c>
      <c r="F23" s="41">
        <f>E23+Model_2!F75</f>
        <v>0</v>
      </c>
      <c r="G23" s="41">
        <f>F23+Model_2!G75</f>
        <v>0</v>
      </c>
      <c r="H23" s="41">
        <f>G23+Model_2!H75</f>
        <v>0</v>
      </c>
      <c r="I23" s="41">
        <f>H23+Model_2!I75</f>
        <v>0</v>
      </c>
      <c r="J23" s="41">
        <f>I23+Model_2!J75</f>
        <v>0</v>
      </c>
      <c r="K23" s="41">
        <f>J23+Model_2!K75</f>
        <v>0</v>
      </c>
      <c r="L23" s="41">
        <f>K23+Model_2!L75</f>
        <v>0</v>
      </c>
      <c r="M23" s="41">
        <f>L23+Model_2!M75</f>
        <v>0</v>
      </c>
      <c r="N23" s="41">
        <f>M23+Model_2!N75</f>
        <v>0</v>
      </c>
      <c r="O23" s="41">
        <f>N23+Model_2!O75</f>
        <v>0</v>
      </c>
      <c r="P23" s="41">
        <f>O23+Model_2!P75</f>
        <v>0</v>
      </c>
      <c r="Q23" s="41">
        <f>P23+Model_2!Q75</f>
        <v>0</v>
      </c>
      <c r="R23" s="41">
        <f>Q23+Model_2!R75</f>
        <v>0</v>
      </c>
      <c r="S23" s="41">
        <f>R23+Model_2!S75</f>
        <v>0</v>
      </c>
      <c r="T23" s="41">
        <f>S23+Model_2!T75</f>
        <v>0</v>
      </c>
      <c r="U23" s="41">
        <f>T23+Model_2!U75</f>
        <v>0</v>
      </c>
      <c r="V23" s="41">
        <f>U23+Model_2!V75</f>
        <v>0</v>
      </c>
      <c r="W23" s="41">
        <f>V23+Model_2!W75</f>
        <v>0</v>
      </c>
      <c r="X23" s="41">
        <f>W23+Model_2!X75</f>
        <v>0</v>
      </c>
      <c r="Y23" s="41">
        <f>X23+Model_2!Y75</f>
        <v>0</v>
      </c>
      <c r="Z23" s="41">
        <f>Y23+Model_2!Z75</f>
        <v>0</v>
      </c>
      <c r="AA23" s="41">
        <f>Z23+Model_2!AA75</f>
        <v>0</v>
      </c>
      <c r="AB23" s="41">
        <f>AA23+Model_2!AB75</f>
        <v>0</v>
      </c>
      <c r="AC23" s="41">
        <f>AB23+Model_2!AC75</f>
        <v>0</v>
      </c>
      <c r="AD23" s="41">
        <f>AC23+Model_2!AD75</f>
        <v>0</v>
      </c>
      <c r="AE23" s="41">
        <f>AD23+Model_2!AE75</f>
        <v>0</v>
      </c>
      <c r="AF23" s="41">
        <f>AE23+Model_2!AF75</f>
        <v>0</v>
      </c>
      <c r="AG23" s="41">
        <f>AF23+Model_2!AG75</f>
        <v>0</v>
      </c>
      <c r="AH23" s="41">
        <f>AG23+Model_2!AH75</f>
        <v>0</v>
      </c>
      <c r="AI23" s="41">
        <f>AH23+Model_2!AI75</f>
        <v>0</v>
      </c>
      <c r="AJ23" s="41">
        <f>AI23+Model_2!AJ75</f>
        <v>0</v>
      </c>
      <c r="AK23" s="41">
        <f>AJ23+Model_2!AK75</f>
        <v>0</v>
      </c>
      <c r="AL23" s="41">
        <f>AK23+Model_2!AL75</f>
        <v>0</v>
      </c>
      <c r="AM23" s="41">
        <f>AL23+Model_2!AM75</f>
        <v>0</v>
      </c>
      <c r="AN23" s="41">
        <f>AM23+Model_2!AN75</f>
        <v>0</v>
      </c>
      <c r="AO23" s="41">
        <f>AN23+Model_2!AO75</f>
        <v>0</v>
      </c>
      <c r="AP23" s="41">
        <f>AO23+Model_2!AP75</f>
        <v>0</v>
      </c>
      <c r="AQ23" s="41">
        <f>AP23+Model_2!AQ75</f>
        <v>0</v>
      </c>
      <c r="AR23" s="41">
        <f>AQ23+Model_2!AR75</f>
        <v>0</v>
      </c>
      <c r="AS23" s="41">
        <f>AR23+Model_2!AS75</f>
        <v>0</v>
      </c>
      <c r="AT23" s="41">
        <f>AS23+Model_2!AT75</f>
        <v>0</v>
      </c>
      <c r="AU23" s="41">
        <f>AT23+Model_2!AU75</f>
        <v>0</v>
      </c>
      <c r="AV23" s="41">
        <f>AU23+Model_2!AV75</f>
        <v>0</v>
      </c>
      <c r="AW23" s="41">
        <f>AV23+Model_2!AW75</f>
        <v>0</v>
      </c>
      <c r="AX23" s="41">
        <f>AW23+Model_2!AX75</f>
        <v>0</v>
      </c>
      <c r="AY23" s="41">
        <f>AX23+Model_2!AY75</f>
        <v>0</v>
      </c>
      <c r="AZ23" s="41"/>
      <c r="BA23" s="41"/>
      <c r="BB23" s="41"/>
    </row>
    <row r="24" spans="1:54" x14ac:dyDescent="0.45">
      <c r="A24" s="41" t="str">
        <f>Model_2!A76</f>
        <v>User specified cost item 3 ($/tree per annum)</v>
      </c>
      <c r="B24" s="41">
        <f>Model_2!B76</f>
        <v>0</v>
      </c>
      <c r="C24" s="41">
        <f>B24+Model_2!C76</f>
        <v>0</v>
      </c>
      <c r="D24" s="41">
        <f>C24+Model_2!D76</f>
        <v>0</v>
      </c>
      <c r="E24" s="41">
        <f>D24+Model_2!E76</f>
        <v>0</v>
      </c>
      <c r="F24" s="41">
        <f>E24+Model_2!F76</f>
        <v>0</v>
      </c>
      <c r="G24" s="41">
        <f>F24+Model_2!G76</f>
        <v>0</v>
      </c>
      <c r="H24" s="41">
        <f>G24+Model_2!H76</f>
        <v>0</v>
      </c>
      <c r="I24" s="41">
        <f>H24+Model_2!I76</f>
        <v>0</v>
      </c>
      <c r="J24" s="41">
        <f>I24+Model_2!J76</f>
        <v>0</v>
      </c>
      <c r="K24" s="41">
        <f>J24+Model_2!K76</f>
        <v>0</v>
      </c>
      <c r="L24" s="41">
        <f>K24+Model_2!L76</f>
        <v>0</v>
      </c>
      <c r="M24" s="41">
        <f>L24+Model_2!M76</f>
        <v>0</v>
      </c>
      <c r="N24" s="41">
        <f>M24+Model_2!N76</f>
        <v>0</v>
      </c>
      <c r="O24" s="41">
        <f>N24+Model_2!O76</f>
        <v>0</v>
      </c>
      <c r="P24" s="41">
        <f>O24+Model_2!P76</f>
        <v>0</v>
      </c>
      <c r="Q24" s="41">
        <f>P24+Model_2!Q76</f>
        <v>0</v>
      </c>
      <c r="R24" s="41">
        <f>Q24+Model_2!R76</f>
        <v>0</v>
      </c>
      <c r="S24" s="41">
        <f>R24+Model_2!S76</f>
        <v>0</v>
      </c>
      <c r="T24" s="41">
        <f>S24+Model_2!T76</f>
        <v>0</v>
      </c>
      <c r="U24" s="41">
        <f>T24+Model_2!U76</f>
        <v>0</v>
      </c>
      <c r="V24" s="41">
        <f>U24+Model_2!V76</f>
        <v>0</v>
      </c>
      <c r="W24" s="41">
        <f>V24+Model_2!W76</f>
        <v>0</v>
      </c>
      <c r="X24" s="41">
        <f>W24+Model_2!X76</f>
        <v>0</v>
      </c>
      <c r="Y24" s="41">
        <f>X24+Model_2!Y76</f>
        <v>0</v>
      </c>
      <c r="Z24" s="41">
        <f>Y24+Model_2!Z76</f>
        <v>0</v>
      </c>
      <c r="AA24" s="41">
        <f>Z24+Model_2!AA76</f>
        <v>0</v>
      </c>
      <c r="AB24" s="41">
        <f>AA24+Model_2!AB76</f>
        <v>0</v>
      </c>
      <c r="AC24" s="41">
        <f>AB24+Model_2!AC76</f>
        <v>0</v>
      </c>
      <c r="AD24" s="41">
        <f>AC24+Model_2!AD76</f>
        <v>0</v>
      </c>
      <c r="AE24" s="41">
        <f>AD24+Model_2!AE76</f>
        <v>0</v>
      </c>
      <c r="AF24" s="41">
        <f>AE24+Model_2!AF76</f>
        <v>0</v>
      </c>
      <c r="AG24" s="41">
        <f>AF24+Model_2!AG76</f>
        <v>0</v>
      </c>
      <c r="AH24" s="41">
        <f>AG24+Model_2!AH76</f>
        <v>0</v>
      </c>
      <c r="AI24" s="41">
        <f>AH24+Model_2!AI76</f>
        <v>0</v>
      </c>
      <c r="AJ24" s="41">
        <f>AI24+Model_2!AJ76</f>
        <v>0</v>
      </c>
      <c r="AK24" s="41">
        <f>AJ24+Model_2!AK76</f>
        <v>0</v>
      </c>
      <c r="AL24" s="41">
        <f>AK24+Model_2!AL76</f>
        <v>0</v>
      </c>
      <c r="AM24" s="41">
        <f>AL24+Model_2!AM76</f>
        <v>0</v>
      </c>
      <c r="AN24" s="41">
        <f>AM24+Model_2!AN76</f>
        <v>0</v>
      </c>
      <c r="AO24" s="41">
        <f>AN24+Model_2!AO76</f>
        <v>0</v>
      </c>
      <c r="AP24" s="41">
        <f>AO24+Model_2!AP76</f>
        <v>0</v>
      </c>
      <c r="AQ24" s="41">
        <f>AP24+Model_2!AQ76</f>
        <v>0</v>
      </c>
      <c r="AR24" s="41">
        <f>AQ24+Model_2!AR76</f>
        <v>0</v>
      </c>
      <c r="AS24" s="41">
        <f>AR24+Model_2!AS76</f>
        <v>0</v>
      </c>
      <c r="AT24" s="41">
        <f>AS24+Model_2!AT76</f>
        <v>0</v>
      </c>
      <c r="AU24" s="41">
        <f>AT24+Model_2!AU76</f>
        <v>0</v>
      </c>
      <c r="AV24" s="41">
        <f>AU24+Model_2!AV76</f>
        <v>0</v>
      </c>
      <c r="AW24" s="41">
        <f>AV24+Model_2!AW76</f>
        <v>0</v>
      </c>
      <c r="AX24" s="41">
        <f>AW24+Model_2!AX76</f>
        <v>0</v>
      </c>
      <c r="AY24" s="41">
        <f>AX24+Model_2!AY76</f>
        <v>0</v>
      </c>
      <c r="AZ24" s="41"/>
      <c r="BA24" s="41"/>
      <c r="BB24" s="41"/>
    </row>
    <row r="25" spans="1:54" x14ac:dyDescent="0.45">
      <c r="A25" s="41" t="str">
        <f>Model_2!A77</f>
        <v>User specified cost item 4 ($/tree per annum)</v>
      </c>
      <c r="B25" s="41">
        <f>Model_2!B77</f>
        <v>0</v>
      </c>
      <c r="C25" s="41">
        <f>B25+Model_2!C77</f>
        <v>0</v>
      </c>
      <c r="D25" s="41">
        <f>C25+Model_2!D77</f>
        <v>0</v>
      </c>
      <c r="E25" s="41">
        <f>D25+Model_2!E77</f>
        <v>0</v>
      </c>
      <c r="F25" s="41">
        <f>E25+Model_2!F77</f>
        <v>0</v>
      </c>
      <c r="G25" s="41">
        <f>F25+Model_2!G77</f>
        <v>0</v>
      </c>
      <c r="H25" s="41">
        <f>G25+Model_2!H77</f>
        <v>0</v>
      </c>
      <c r="I25" s="41">
        <f>H25+Model_2!I77</f>
        <v>0</v>
      </c>
      <c r="J25" s="41">
        <f>I25+Model_2!J77</f>
        <v>0</v>
      </c>
      <c r="K25" s="41">
        <f>J25+Model_2!K77</f>
        <v>0</v>
      </c>
      <c r="L25" s="41">
        <f>K25+Model_2!L77</f>
        <v>0</v>
      </c>
      <c r="M25" s="41">
        <f>L25+Model_2!M77</f>
        <v>0</v>
      </c>
      <c r="N25" s="41">
        <f>M25+Model_2!N77</f>
        <v>0</v>
      </c>
      <c r="O25" s="41">
        <f>N25+Model_2!O77</f>
        <v>0</v>
      </c>
      <c r="P25" s="41">
        <f>O25+Model_2!P77</f>
        <v>0</v>
      </c>
      <c r="Q25" s="41">
        <f>P25+Model_2!Q77</f>
        <v>0</v>
      </c>
      <c r="R25" s="41">
        <f>Q25+Model_2!R77</f>
        <v>0</v>
      </c>
      <c r="S25" s="41">
        <f>R25+Model_2!S77</f>
        <v>0</v>
      </c>
      <c r="T25" s="41">
        <f>S25+Model_2!T77</f>
        <v>0</v>
      </c>
      <c r="U25" s="41">
        <f>T25+Model_2!U77</f>
        <v>0</v>
      </c>
      <c r="V25" s="41">
        <f>U25+Model_2!V77</f>
        <v>0</v>
      </c>
      <c r="W25" s="41">
        <f>V25+Model_2!W77</f>
        <v>0</v>
      </c>
      <c r="X25" s="41">
        <f>W25+Model_2!X77</f>
        <v>0</v>
      </c>
      <c r="Y25" s="41">
        <f>X25+Model_2!Y77</f>
        <v>0</v>
      </c>
      <c r="Z25" s="41">
        <f>Y25+Model_2!Z77</f>
        <v>0</v>
      </c>
      <c r="AA25" s="41">
        <f>Z25+Model_2!AA77</f>
        <v>0</v>
      </c>
      <c r="AB25" s="41">
        <f>AA25+Model_2!AB77</f>
        <v>0</v>
      </c>
      <c r="AC25" s="41">
        <f>AB25+Model_2!AC77</f>
        <v>0</v>
      </c>
      <c r="AD25" s="41">
        <f>AC25+Model_2!AD77</f>
        <v>0</v>
      </c>
      <c r="AE25" s="41">
        <f>AD25+Model_2!AE77</f>
        <v>0</v>
      </c>
      <c r="AF25" s="41">
        <f>AE25+Model_2!AF77</f>
        <v>0</v>
      </c>
      <c r="AG25" s="41">
        <f>AF25+Model_2!AG77</f>
        <v>0</v>
      </c>
      <c r="AH25" s="41">
        <f>AG25+Model_2!AH77</f>
        <v>0</v>
      </c>
      <c r="AI25" s="41">
        <f>AH25+Model_2!AI77</f>
        <v>0</v>
      </c>
      <c r="AJ25" s="41">
        <f>AI25+Model_2!AJ77</f>
        <v>0</v>
      </c>
      <c r="AK25" s="41">
        <f>AJ25+Model_2!AK77</f>
        <v>0</v>
      </c>
      <c r="AL25" s="41">
        <f>AK25+Model_2!AL77</f>
        <v>0</v>
      </c>
      <c r="AM25" s="41">
        <f>AL25+Model_2!AM77</f>
        <v>0</v>
      </c>
      <c r="AN25" s="41">
        <f>AM25+Model_2!AN77</f>
        <v>0</v>
      </c>
      <c r="AO25" s="41">
        <f>AN25+Model_2!AO77</f>
        <v>0</v>
      </c>
      <c r="AP25" s="41">
        <f>AO25+Model_2!AP77</f>
        <v>0</v>
      </c>
      <c r="AQ25" s="41">
        <f>AP25+Model_2!AQ77</f>
        <v>0</v>
      </c>
      <c r="AR25" s="41">
        <f>AQ25+Model_2!AR77</f>
        <v>0</v>
      </c>
      <c r="AS25" s="41">
        <f>AR25+Model_2!AS77</f>
        <v>0</v>
      </c>
      <c r="AT25" s="41">
        <f>AS25+Model_2!AT77</f>
        <v>0</v>
      </c>
      <c r="AU25" s="41">
        <f>AT25+Model_2!AU77</f>
        <v>0</v>
      </c>
      <c r="AV25" s="41">
        <f>AU25+Model_2!AV77</f>
        <v>0</v>
      </c>
      <c r="AW25" s="41">
        <f>AV25+Model_2!AW77</f>
        <v>0</v>
      </c>
      <c r="AX25" s="41">
        <f>AW25+Model_2!AX77</f>
        <v>0</v>
      </c>
      <c r="AY25" s="41">
        <f>AX25+Model_2!AY77</f>
        <v>0</v>
      </c>
      <c r="AZ25" s="41"/>
      <c r="BA25" s="41"/>
      <c r="BB25" s="41"/>
    </row>
    <row r="26" spans="1:54" x14ac:dyDescent="0.45">
      <c r="A26" s="41" t="str">
        <f>Model_2!A78</f>
        <v>User specified cost item 5 ($/tree per annum)</v>
      </c>
      <c r="B26" s="41">
        <f>Model_2!B78</f>
        <v>0</v>
      </c>
      <c r="C26" s="41">
        <f>B26+Model_2!C78</f>
        <v>0</v>
      </c>
      <c r="D26" s="41">
        <f>C26+Model_2!D78</f>
        <v>0</v>
      </c>
      <c r="E26" s="41">
        <f>D26+Model_2!E78</f>
        <v>0</v>
      </c>
      <c r="F26" s="41">
        <f>E26+Model_2!F78</f>
        <v>0</v>
      </c>
      <c r="G26" s="41">
        <f>F26+Model_2!G78</f>
        <v>0</v>
      </c>
      <c r="H26" s="41">
        <f>G26+Model_2!H78</f>
        <v>0</v>
      </c>
      <c r="I26" s="41">
        <f>H26+Model_2!I78</f>
        <v>0</v>
      </c>
      <c r="J26" s="41">
        <f>I26+Model_2!J78</f>
        <v>0</v>
      </c>
      <c r="K26" s="41">
        <f>J26+Model_2!K78</f>
        <v>0</v>
      </c>
      <c r="L26" s="41">
        <f>K26+Model_2!L78</f>
        <v>0</v>
      </c>
      <c r="M26" s="41">
        <f>L26+Model_2!M78</f>
        <v>0</v>
      </c>
      <c r="N26" s="41">
        <f>M26+Model_2!N78</f>
        <v>0</v>
      </c>
      <c r="O26" s="41">
        <f>N26+Model_2!O78</f>
        <v>0</v>
      </c>
      <c r="P26" s="41">
        <f>O26+Model_2!P78</f>
        <v>0</v>
      </c>
      <c r="Q26" s="41">
        <f>P26+Model_2!Q78</f>
        <v>0</v>
      </c>
      <c r="R26" s="41">
        <f>Q26+Model_2!R78</f>
        <v>0</v>
      </c>
      <c r="S26" s="41">
        <f>R26+Model_2!S78</f>
        <v>0</v>
      </c>
      <c r="T26" s="41">
        <f>S26+Model_2!T78</f>
        <v>0</v>
      </c>
      <c r="U26" s="41">
        <f>T26+Model_2!U78</f>
        <v>0</v>
      </c>
      <c r="V26" s="41">
        <f>U26+Model_2!V78</f>
        <v>0</v>
      </c>
      <c r="W26" s="41">
        <f>V26+Model_2!W78</f>
        <v>0</v>
      </c>
      <c r="X26" s="41">
        <f>W26+Model_2!X78</f>
        <v>0</v>
      </c>
      <c r="Y26" s="41">
        <f>X26+Model_2!Y78</f>
        <v>0</v>
      </c>
      <c r="Z26" s="41">
        <f>Y26+Model_2!Z78</f>
        <v>0</v>
      </c>
      <c r="AA26" s="41">
        <f>Z26+Model_2!AA78</f>
        <v>0</v>
      </c>
      <c r="AB26" s="41">
        <f>AA26+Model_2!AB78</f>
        <v>0</v>
      </c>
      <c r="AC26" s="41">
        <f>AB26+Model_2!AC78</f>
        <v>0</v>
      </c>
      <c r="AD26" s="41">
        <f>AC26+Model_2!AD78</f>
        <v>0</v>
      </c>
      <c r="AE26" s="41">
        <f>AD26+Model_2!AE78</f>
        <v>0</v>
      </c>
      <c r="AF26" s="41">
        <f>AE26+Model_2!AF78</f>
        <v>0</v>
      </c>
      <c r="AG26" s="41">
        <f>AF26+Model_2!AG78</f>
        <v>0</v>
      </c>
      <c r="AH26" s="41">
        <f>AG26+Model_2!AH78</f>
        <v>0</v>
      </c>
      <c r="AI26" s="41">
        <f>AH26+Model_2!AI78</f>
        <v>0</v>
      </c>
      <c r="AJ26" s="41">
        <f>AI26+Model_2!AJ78</f>
        <v>0</v>
      </c>
      <c r="AK26" s="41">
        <f>AJ26+Model_2!AK78</f>
        <v>0</v>
      </c>
      <c r="AL26" s="41">
        <f>AK26+Model_2!AL78</f>
        <v>0</v>
      </c>
      <c r="AM26" s="41">
        <f>AL26+Model_2!AM78</f>
        <v>0</v>
      </c>
      <c r="AN26" s="41">
        <f>AM26+Model_2!AN78</f>
        <v>0</v>
      </c>
      <c r="AO26" s="41">
        <f>AN26+Model_2!AO78</f>
        <v>0</v>
      </c>
      <c r="AP26" s="41">
        <f>AO26+Model_2!AP78</f>
        <v>0</v>
      </c>
      <c r="AQ26" s="41">
        <f>AP26+Model_2!AQ78</f>
        <v>0</v>
      </c>
      <c r="AR26" s="41">
        <f>AQ26+Model_2!AR78</f>
        <v>0</v>
      </c>
      <c r="AS26" s="41">
        <f>AR26+Model_2!AS78</f>
        <v>0</v>
      </c>
      <c r="AT26" s="41">
        <f>AS26+Model_2!AT78</f>
        <v>0</v>
      </c>
      <c r="AU26" s="41">
        <f>AT26+Model_2!AU78</f>
        <v>0</v>
      </c>
      <c r="AV26" s="41">
        <f>AU26+Model_2!AV78</f>
        <v>0</v>
      </c>
      <c r="AW26" s="41">
        <f>AV26+Model_2!AW78</f>
        <v>0</v>
      </c>
      <c r="AX26" s="41">
        <f>AW26+Model_2!AX78</f>
        <v>0</v>
      </c>
      <c r="AY26" s="41">
        <f>AX26+Model_2!AY78</f>
        <v>0</v>
      </c>
      <c r="AZ26" s="41"/>
      <c r="BA26" s="41"/>
      <c r="BB26" s="41"/>
    </row>
    <row r="27" spans="1:54" x14ac:dyDescent="0.45">
      <c r="A27" s="41" t="s">
        <v>298</v>
      </c>
      <c r="B27" s="280">
        <f>SUM(B5:B26)</f>
        <v>41693.446377960332</v>
      </c>
      <c r="C27" s="280">
        <f t="shared" ref="C27:AY27" si="0">SUM(C5:C26)</f>
        <v>47751.196377960332</v>
      </c>
      <c r="D27" s="280">
        <f t="shared" si="0"/>
        <v>53038.466690460336</v>
      </c>
      <c r="E27" s="280">
        <f t="shared" si="0"/>
        <v>58457.918760772831</v>
      </c>
      <c r="F27" s="280">
        <f t="shared" si="0"/>
        <v>64012.857132843143</v>
      </c>
      <c r="G27" s="280">
        <f t="shared" si="0"/>
        <v>69706.66896421522</v>
      </c>
      <c r="H27" s="280">
        <f t="shared" si="0"/>
        <v>80593.290927688722</v>
      </c>
      <c r="I27" s="280">
        <f t="shared" si="0"/>
        <v>91752.078440249054</v>
      </c>
      <c r="J27" s="280">
        <f t="shared" si="0"/>
        <v>103189.83564062341</v>
      </c>
      <c r="K27" s="280">
        <f t="shared" si="0"/>
        <v>114913.53677100712</v>
      </c>
      <c r="L27" s="280">
        <f t="shared" si="0"/>
        <v>126930.33042965042</v>
      </c>
      <c r="M27" s="280">
        <f t="shared" si="0"/>
        <v>139247.54392975979</v>
      </c>
      <c r="N27" s="280">
        <f t="shared" si="0"/>
        <v>151872.68776737191</v>
      </c>
      <c r="O27" s="280">
        <f t="shared" si="0"/>
        <v>164813.46020092434</v>
      </c>
      <c r="P27" s="280">
        <f t="shared" si="0"/>
        <v>178077.75194531557</v>
      </c>
      <c r="Q27" s="280">
        <f t="shared" si="0"/>
        <v>191673.65098331659</v>
      </c>
      <c r="R27" s="280">
        <f t="shared" si="0"/>
        <v>205609.44749726763</v>
      </c>
      <c r="S27" s="280">
        <f t="shared" si="0"/>
        <v>219893.63892406746</v>
      </c>
      <c r="T27" s="280">
        <f t="shared" si="0"/>
        <v>234534.93513653721</v>
      </c>
      <c r="U27" s="280">
        <f t="shared" si="0"/>
        <v>249542.26375431879</v>
      </c>
      <c r="V27" s="280">
        <f t="shared" si="0"/>
        <v>264924.77558754483</v>
      </c>
      <c r="W27" s="280">
        <f t="shared" si="0"/>
        <v>280691.85021660163</v>
      </c>
      <c r="X27" s="280">
        <f t="shared" si="0"/>
        <v>296853.10171138472</v>
      </c>
      <c r="Y27" s="280">
        <f t="shared" si="0"/>
        <v>313418.38449353754</v>
      </c>
      <c r="Z27" s="280">
        <f t="shared" si="0"/>
        <v>330397.79934524407</v>
      </c>
      <c r="AA27" s="280">
        <f t="shared" si="0"/>
        <v>347801.69956824329</v>
      </c>
      <c r="AB27" s="280">
        <f t="shared" si="0"/>
        <v>365640.6972968175</v>
      </c>
      <c r="AC27" s="280">
        <f t="shared" si="0"/>
        <v>383925.66996860603</v>
      </c>
      <c r="AD27" s="280">
        <f t="shared" si="0"/>
        <v>402667.76695718925</v>
      </c>
      <c r="AE27" s="280">
        <f t="shared" si="0"/>
        <v>421878.41637048707</v>
      </c>
      <c r="AF27" s="280">
        <f t="shared" si="0"/>
        <v>441569.33201911737</v>
      </c>
      <c r="AG27" s="280">
        <f t="shared" si="0"/>
        <v>461752.52055896341</v>
      </c>
      <c r="AH27" s="280">
        <f t="shared" si="0"/>
        <v>482440.2888123056</v>
      </c>
      <c r="AI27" s="280">
        <f t="shared" si="0"/>
        <v>503645.25127198134</v>
      </c>
      <c r="AJ27" s="280">
        <f t="shared" si="0"/>
        <v>525380.33779314905</v>
      </c>
      <c r="AK27" s="280">
        <f t="shared" si="0"/>
        <v>547658.80147734587</v>
      </c>
      <c r="AL27" s="280">
        <f t="shared" si="0"/>
        <v>570494.22675364767</v>
      </c>
      <c r="AM27" s="280">
        <f t="shared" si="0"/>
        <v>593900.53766185697</v>
      </c>
      <c r="AN27" s="280">
        <f t="shared" si="0"/>
        <v>617892.00634277135</v>
      </c>
      <c r="AO27" s="280">
        <f t="shared" si="0"/>
        <v>642483.26174070872</v>
      </c>
      <c r="AP27" s="280">
        <f t="shared" si="0"/>
        <v>667689.29852359451</v>
      </c>
      <c r="AQ27" s="280">
        <f t="shared" si="0"/>
        <v>693525.48622605251</v>
      </c>
      <c r="AR27" s="280">
        <f t="shared" si="0"/>
        <v>720007.57862107188</v>
      </c>
      <c r="AS27" s="280">
        <f t="shared" si="0"/>
        <v>747151.72332596674</v>
      </c>
      <c r="AT27" s="280">
        <f t="shared" si="0"/>
        <v>774974.471648484</v>
      </c>
      <c r="AU27" s="280">
        <f t="shared" si="0"/>
        <v>803492.78867906414</v>
      </c>
      <c r="AV27" s="280">
        <f t="shared" si="0"/>
        <v>832724.06363540888</v>
      </c>
      <c r="AW27" s="280">
        <f t="shared" si="0"/>
        <v>862686.12046566233</v>
      </c>
      <c r="AX27" s="280">
        <f t="shared" si="0"/>
        <v>893397.22871667182</v>
      </c>
      <c r="AY27" s="280">
        <f t="shared" si="0"/>
        <v>924876.11467395688</v>
      </c>
    </row>
    <row r="28" spans="1:54" x14ac:dyDescent="0.45"/>
    <row r="29" spans="1:54" x14ac:dyDescent="0.45"/>
    <row r="30" spans="1:54" x14ac:dyDescent="0.45"/>
    <row r="31" spans="1:54" x14ac:dyDescent="0.45"/>
    <row r="32" spans="1:54"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4" x14ac:dyDescent="0.45"/>
    <row r="45" x14ac:dyDescent="0.45"/>
    <row r="46" x14ac:dyDescent="0.45"/>
    <row r="47" x14ac:dyDescent="0.45"/>
    <row r="48" x14ac:dyDescent="0.45"/>
    <row r="49" spans="1:53" x14ac:dyDescent="0.45"/>
    <row r="50" spans="1:53" x14ac:dyDescent="0.45"/>
    <row r="51" spans="1:53" x14ac:dyDescent="0.45"/>
    <row r="52" spans="1:53" x14ac:dyDescent="0.45"/>
    <row r="53" spans="1:53" x14ac:dyDescent="0.45"/>
    <row r="54" spans="1:53" x14ac:dyDescent="0.45"/>
    <row r="55" spans="1:53" x14ac:dyDescent="0.45"/>
    <row r="56" spans="1:53" x14ac:dyDescent="0.45"/>
    <row r="57" spans="1:53" x14ac:dyDescent="0.45"/>
    <row r="58" spans="1:53" x14ac:dyDescent="0.45"/>
    <row r="59" spans="1:53" x14ac:dyDescent="0.45">
      <c r="A59" s="45" t="s">
        <v>211</v>
      </c>
    </row>
    <row r="60" spans="1:53" x14ac:dyDescent="0.45">
      <c r="B60" s="30" t="str">
        <f>B4</f>
        <v>Year 1</v>
      </c>
      <c r="C60" s="30" t="str">
        <f t="shared" ref="C60:AY60" si="1">C4</f>
        <v>Year 2</v>
      </c>
      <c r="D60" s="30" t="str">
        <f t="shared" si="1"/>
        <v>Year 3</v>
      </c>
      <c r="E60" s="30" t="str">
        <f t="shared" si="1"/>
        <v>Year 4</v>
      </c>
      <c r="F60" s="30" t="str">
        <f t="shared" si="1"/>
        <v>Year 5</v>
      </c>
      <c r="G60" s="30" t="str">
        <f t="shared" si="1"/>
        <v>Year 6</v>
      </c>
      <c r="H60" s="30" t="str">
        <f t="shared" si="1"/>
        <v>Year 7</v>
      </c>
      <c r="I60" s="30" t="str">
        <f t="shared" si="1"/>
        <v>Year 8</v>
      </c>
      <c r="J60" s="30" t="str">
        <f t="shared" si="1"/>
        <v>Year 9</v>
      </c>
      <c r="K60" s="30" t="str">
        <f t="shared" si="1"/>
        <v>Year 10</v>
      </c>
      <c r="L60" s="30" t="str">
        <f t="shared" si="1"/>
        <v>Year 11</v>
      </c>
      <c r="M60" s="30" t="str">
        <f t="shared" si="1"/>
        <v>Year 12</v>
      </c>
      <c r="N60" s="30" t="str">
        <f t="shared" si="1"/>
        <v>Year 13</v>
      </c>
      <c r="O60" s="30" t="str">
        <f t="shared" si="1"/>
        <v>Year 14</v>
      </c>
      <c r="P60" s="30" t="str">
        <f t="shared" si="1"/>
        <v>Year 15</v>
      </c>
      <c r="Q60" s="30" t="str">
        <f t="shared" si="1"/>
        <v>Year 16</v>
      </c>
      <c r="R60" s="30" t="str">
        <f t="shared" si="1"/>
        <v>Year 17</v>
      </c>
      <c r="S60" s="30" t="str">
        <f t="shared" si="1"/>
        <v>Year 18</v>
      </c>
      <c r="T60" s="30" t="str">
        <f t="shared" si="1"/>
        <v>Year 19</v>
      </c>
      <c r="U60" s="30" t="str">
        <f t="shared" si="1"/>
        <v>Year 20</v>
      </c>
      <c r="V60" s="30" t="str">
        <f t="shared" si="1"/>
        <v>Year 21</v>
      </c>
      <c r="W60" s="30" t="str">
        <f t="shared" si="1"/>
        <v>Year 22</v>
      </c>
      <c r="X60" s="30" t="str">
        <f t="shared" si="1"/>
        <v>Year 23</v>
      </c>
      <c r="Y60" s="30" t="str">
        <f t="shared" si="1"/>
        <v>Year 24</v>
      </c>
      <c r="Z60" s="30" t="str">
        <f t="shared" si="1"/>
        <v>Year 25</v>
      </c>
      <c r="AA60" s="30" t="str">
        <f t="shared" si="1"/>
        <v>Year 26</v>
      </c>
      <c r="AB60" s="30" t="str">
        <f t="shared" si="1"/>
        <v>Year 27</v>
      </c>
      <c r="AC60" s="30" t="str">
        <f t="shared" si="1"/>
        <v>Year 28</v>
      </c>
      <c r="AD60" s="30" t="str">
        <f t="shared" si="1"/>
        <v>Year 29</v>
      </c>
      <c r="AE60" s="30" t="str">
        <f t="shared" si="1"/>
        <v>Year 30</v>
      </c>
      <c r="AF60" s="30" t="str">
        <f t="shared" si="1"/>
        <v>Year 31</v>
      </c>
      <c r="AG60" s="30" t="str">
        <f t="shared" si="1"/>
        <v>Year 32</v>
      </c>
      <c r="AH60" s="30" t="str">
        <f t="shared" si="1"/>
        <v>Year 33</v>
      </c>
      <c r="AI60" s="30" t="str">
        <f t="shared" si="1"/>
        <v>Year 34</v>
      </c>
      <c r="AJ60" s="30" t="str">
        <f t="shared" si="1"/>
        <v>Year 35</v>
      </c>
      <c r="AK60" s="30" t="str">
        <f t="shared" si="1"/>
        <v>Year 36</v>
      </c>
      <c r="AL60" s="30" t="str">
        <f t="shared" si="1"/>
        <v>Year 37</v>
      </c>
      <c r="AM60" s="30" t="str">
        <f t="shared" si="1"/>
        <v>Year 38</v>
      </c>
      <c r="AN60" s="30" t="str">
        <f t="shared" si="1"/>
        <v>Year 39</v>
      </c>
      <c r="AO60" s="30" t="str">
        <f t="shared" si="1"/>
        <v>Year 40</v>
      </c>
      <c r="AP60" s="30" t="str">
        <f t="shared" si="1"/>
        <v>Year 41</v>
      </c>
      <c r="AQ60" s="30" t="str">
        <f t="shared" si="1"/>
        <v>Year 42</v>
      </c>
      <c r="AR60" s="30" t="str">
        <f t="shared" si="1"/>
        <v>Year 43</v>
      </c>
      <c r="AS60" s="30" t="str">
        <f t="shared" si="1"/>
        <v>Year 44</v>
      </c>
      <c r="AT60" s="30" t="str">
        <f t="shared" si="1"/>
        <v>Year 45</v>
      </c>
      <c r="AU60" s="30" t="str">
        <f t="shared" si="1"/>
        <v>Year 46</v>
      </c>
      <c r="AV60" s="30" t="str">
        <f t="shared" si="1"/>
        <v>Year 47</v>
      </c>
      <c r="AW60" s="30" t="str">
        <f t="shared" si="1"/>
        <v>Year 48</v>
      </c>
      <c r="AX60" s="30" t="str">
        <f t="shared" si="1"/>
        <v>Year 49</v>
      </c>
      <c r="AY60" s="30" t="str">
        <f t="shared" si="1"/>
        <v>Year 50</v>
      </c>
    </row>
    <row r="61" spans="1:53" x14ac:dyDescent="0.45">
      <c r="A61" s="41" t="str">
        <f>A5</f>
        <v>Concrete cutting ($)</v>
      </c>
      <c r="B61" s="217">
        <f>IFERROR(B5/Dashboard_2!$H$6,0)</f>
        <v>0</v>
      </c>
      <c r="C61" s="217">
        <f>IFERROR(C5/Dashboard_2!$H$6,0)</f>
        <v>0</v>
      </c>
      <c r="D61" s="217">
        <f>IFERROR(D5/Dashboard_2!$H$6,0)</f>
        <v>0</v>
      </c>
      <c r="E61" s="217">
        <f>IFERROR(E5/Dashboard_2!$H$6,0)</f>
        <v>0</v>
      </c>
      <c r="F61" s="217">
        <f>IFERROR(F5/Dashboard_2!$H$6,0)</f>
        <v>0</v>
      </c>
      <c r="G61" s="217">
        <f>IFERROR(G5/Dashboard_2!$H$6,0)</f>
        <v>0</v>
      </c>
      <c r="H61" s="217">
        <f>IFERROR(H5/Dashboard_2!$H$6,0)</f>
        <v>0</v>
      </c>
      <c r="I61" s="217">
        <f>IFERROR(I5/Dashboard_2!$H$6,0)</f>
        <v>0</v>
      </c>
      <c r="J61" s="217">
        <f>IFERROR(J5/Dashboard_2!$H$6,0)</f>
        <v>0</v>
      </c>
      <c r="K61" s="217">
        <f>IFERROR(K5/Dashboard_2!$H$6,0)</f>
        <v>0</v>
      </c>
      <c r="L61" s="217">
        <f>IFERROR(L5/Dashboard_2!$H$6,0)</f>
        <v>0</v>
      </c>
      <c r="M61" s="217">
        <f>IFERROR(M5/Dashboard_2!$H$6,0)</f>
        <v>0</v>
      </c>
      <c r="N61" s="217">
        <f>IFERROR(N5/Dashboard_2!$H$6,0)</f>
        <v>0</v>
      </c>
      <c r="O61" s="217">
        <f>IFERROR(O5/Dashboard_2!$H$6,0)</f>
        <v>0</v>
      </c>
      <c r="P61" s="217">
        <f>IFERROR(P5/Dashboard_2!$H$6,0)</f>
        <v>0</v>
      </c>
      <c r="Q61" s="217">
        <f>IFERROR(Q5/Dashboard_2!$H$6,0)</f>
        <v>0</v>
      </c>
      <c r="R61" s="217">
        <f>IFERROR(R5/Dashboard_2!$H$6,0)</f>
        <v>0</v>
      </c>
      <c r="S61" s="217">
        <f>IFERROR(S5/Dashboard_2!$H$6,0)</f>
        <v>0</v>
      </c>
      <c r="T61" s="217">
        <f>IFERROR(T5/Dashboard_2!$H$6,0)</f>
        <v>0</v>
      </c>
      <c r="U61" s="217">
        <f>IFERROR(U5/Dashboard_2!$H$6,0)</f>
        <v>0</v>
      </c>
      <c r="V61" s="217">
        <f>IFERROR(V5/Dashboard_2!$H$6,0)</f>
        <v>0</v>
      </c>
      <c r="W61" s="217">
        <f>IFERROR(W5/Dashboard_2!$H$6,0)</f>
        <v>0</v>
      </c>
      <c r="X61" s="217">
        <f>IFERROR(X5/Dashboard_2!$H$6,0)</f>
        <v>0</v>
      </c>
      <c r="Y61" s="217">
        <f>IFERROR(Y5/Dashboard_2!$H$6,0)</f>
        <v>0</v>
      </c>
      <c r="Z61" s="217">
        <f>IFERROR(Z5/Dashboard_2!$H$6,0)</f>
        <v>0</v>
      </c>
      <c r="AA61" s="217">
        <f>IFERROR(AA5/Dashboard_2!$H$6,0)</f>
        <v>0</v>
      </c>
      <c r="AB61" s="217">
        <f>IFERROR(AB5/Dashboard_2!$H$6,0)</f>
        <v>0</v>
      </c>
      <c r="AC61" s="217">
        <f>IFERROR(AC5/Dashboard_2!$H$6,0)</f>
        <v>0</v>
      </c>
      <c r="AD61" s="217">
        <f>IFERROR(AD5/Dashboard_2!$H$6,0)</f>
        <v>0</v>
      </c>
      <c r="AE61" s="217">
        <f>IFERROR(AE5/Dashboard_2!$H$6,0)</f>
        <v>0</v>
      </c>
      <c r="AF61" s="217">
        <f>IFERROR(AF5/Dashboard_2!$H$6,0)</f>
        <v>0</v>
      </c>
      <c r="AG61" s="217">
        <f>IFERROR(AG5/Dashboard_2!$H$6,0)</f>
        <v>0</v>
      </c>
      <c r="AH61" s="217">
        <f>IFERROR(AH5/Dashboard_2!$H$6,0)</f>
        <v>0</v>
      </c>
      <c r="AI61" s="217">
        <f>IFERROR(AI5/Dashboard_2!$H$6,0)</f>
        <v>0</v>
      </c>
      <c r="AJ61" s="217">
        <f>IFERROR(AJ5/Dashboard_2!$H$6,0)</f>
        <v>0</v>
      </c>
      <c r="AK61" s="217">
        <f>IFERROR(AK5/Dashboard_2!$H$6,0)</f>
        <v>0</v>
      </c>
      <c r="AL61" s="217">
        <f>IFERROR(AL5/Dashboard_2!$H$6,0)</f>
        <v>0</v>
      </c>
      <c r="AM61" s="217">
        <f>IFERROR(AM5/Dashboard_2!$H$6,0)</f>
        <v>0</v>
      </c>
      <c r="AN61" s="217">
        <f>IFERROR(AN5/Dashboard_2!$H$6,0)</f>
        <v>0</v>
      </c>
      <c r="AO61" s="217">
        <f>IFERROR(AO5/Dashboard_2!$H$6,0)</f>
        <v>0</v>
      </c>
      <c r="AP61" s="217">
        <f>IFERROR(AP5/Dashboard_2!$H$6,0)</f>
        <v>0</v>
      </c>
      <c r="AQ61" s="217">
        <f>IFERROR(AQ5/Dashboard_2!$H$6,0)</f>
        <v>0</v>
      </c>
      <c r="AR61" s="217">
        <f>IFERROR(AR5/Dashboard_2!$H$6,0)</f>
        <v>0</v>
      </c>
      <c r="AS61" s="217">
        <f>IFERROR(AS5/Dashboard_2!$H$6,0)</f>
        <v>0</v>
      </c>
      <c r="AT61" s="217">
        <f>IFERROR(AT5/Dashboard_2!$H$6,0)</f>
        <v>0</v>
      </c>
      <c r="AU61" s="217">
        <f>IFERROR(AU5/Dashboard_2!$H$6,0)</f>
        <v>0</v>
      </c>
      <c r="AV61" s="217">
        <f>IFERROR(AV5/Dashboard_2!$H$6,0)</f>
        <v>0</v>
      </c>
      <c r="AW61" s="217">
        <f>IFERROR(AW5/Dashboard_2!$H$6,0)</f>
        <v>0</v>
      </c>
      <c r="AX61" s="217">
        <f>IFERROR(AX5/Dashboard_2!$H$6,0)</f>
        <v>0</v>
      </c>
      <c r="AY61" s="217">
        <f>IFERROR(AY5/Dashboard_2!$H$6,0)</f>
        <v>0</v>
      </c>
      <c r="AZ61" s="180"/>
      <c r="BA61" s="180"/>
    </row>
    <row r="62" spans="1:53" x14ac:dyDescent="0.45">
      <c r="A62" s="41" t="str">
        <f t="shared" ref="A62:A82" si="2">A6</f>
        <v>Supply ($)</v>
      </c>
      <c r="B62" s="217">
        <f>IFERROR(B6/Dashboard_2!$H$6,0)</f>
        <v>105.11544417659999</v>
      </c>
      <c r="C62" s="217">
        <f>IFERROR(C6/Dashboard_2!$H$6,0)</f>
        <v>105.11544417659999</v>
      </c>
      <c r="D62" s="217">
        <f>IFERROR(D6/Dashboard_2!$H$6,0)</f>
        <v>105.11544417659999</v>
      </c>
      <c r="E62" s="217">
        <f>IFERROR(E6/Dashboard_2!$H$6,0)</f>
        <v>105.11544417659999</v>
      </c>
      <c r="F62" s="217">
        <f>IFERROR(F6/Dashboard_2!$H$6,0)</f>
        <v>105.11544417659999</v>
      </c>
      <c r="G62" s="217">
        <f>IFERROR(G6/Dashboard_2!$H$6,0)</f>
        <v>105.11544417659999</v>
      </c>
      <c r="H62" s="217">
        <f>IFERROR(H6/Dashboard_2!$H$6,0)</f>
        <v>105.11544417659999</v>
      </c>
      <c r="I62" s="217">
        <f>IFERROR(I6/Dashboard_2!$H$6,0)</f>
        <v>105.11544417659999</v>
      </c>
      <c r="J62" s="217">
        <f>IFERROR(J6/Dashboard_2!$H$6,0)</f>
        <v>105.11544417659999</v>
      </c>
      <c r="K62" s="217">
        <f>IFERROR(K6/Dashboard_2!$H$6,0)</f>
        <v>105.11544417659999</v>
      </c>
      <c r="L62" s="217">
        <f>IFERROR(L6/Dashboard_2!$H$6,0)</f>
        <v>105.11544417659999</v>
      </c>
      <c r="M62" s="217">
        <f>IFERROR(M6/Dashboard_2!$H$6,0)</f>
        <v>105.11544417659999</v>
      </c>
      <c r="N62" s="217">
        <f>IFERROR(N6/Dashboard_2!$H$6,0)</f>
        <v>105.11544417659999</v>
      </c>
      <c r="O62" s="217">
        <f>IFERROR(O6/Dashboard_2!$H$6,0)</f>
        <v>105.11544417659999</v>
      </c>
      <c r="P62" s="217">
        <f>IFERROR(P6/Dashboard_2!$H$6,0)</f>
        <v>105.11544417659999</v>
      </c>
      <c r="Q62" s="217">
        <f>IFERROR(Q6/Dashboard_2!$H$6,0)</f>
        <v>105.11544417659999</v>
      </c>
      <c r="R62" s="217">
        <f>IFERROR(R6/Dashboard_2!$H$6,0)</f>
        <v>105.11544417659999</v>
      </c>
      <c r="S62" s="217">
        <f>IFERROR(S6/Dashboard_2!$H$6,0)</f>
        <v>105.11544417659999</v>
      </c>
      <c r="T62" s="217">
        <f>IFERROR(T6/Dashboard_2!$H$6,0)</f>
        <v>105.11544417659999</v>
      </c>
      <c r="U62" s="217">
        <f>IFERROR(U6/Dashboard_2!$H$6,0)</f>
        <v>105.11544417659999</v>
      </c>
      <c r="V62" s="217">
        <f>IFERROR(V6/Dashboard_2!$H$6,0)</f>
        <v>105.11544417659999</v>
      </c>
      <c r="W62" s="217">
        <f>IFERROR(W6/Dashboard_2!$H$6,0)</f>
        <v>105.11544417659999</v>
      </c>
      <c r="X62" s="217">
        <f>IFERROR(X6/Dashboard_2!$H$6,0)</f>
        <v>105.11544417659999</v>
      </c>
      <c r="Y62" s="217">
        <f>IFERROR(Y6/Dashboard_2!$H$6,0)</f>
        <v>105.11544417659999</v>
      </c>
      <c r="Z62" s="217">
        <f>IFERROR(Z6/Dashboard_2!$H$6,0)</f>
        <v>105.11544417659999</v>
      </c>
      <c r="AA62" s="217">
        <f>IFERROR(AA6/Dashboard_2!$H$6,0)</f>
        <v>105.11544417659999</v>
      </c>
      <c r="AB62" s="217">
        <f>IFERROR(AB6/Dashboard_2!$H$6,0)</f>
        <v>105.11544417659999</v>
      </c>
      <c r="AC62" s="217">
        <f>IFERROR(AC6/Dashboard_2!$H$6,0)</f>
        <v>105.11544417659999</v>
      </c>
      <c r="AD62" s="217">
        <f>IFERROR(AD6/Dashboard_2!$H$6,0)</f>
        <v>105.11544417659999</v>
      </c>
      <c r="AE62" s="217">
        <f>IFERROR(AE6/Dashboard_2!$H$6,0)</f>
        <v>105.11544417659999</v>
      </c>
      <c r="AF62" s="217">
        <f>IFERROR(AF6/Dashboard_2!$H$6,0)</f>
        <v>105.11544417659999</v>
      </c>
      <c r="AG62" s="217">
        <f>IFERROR(AG6/Dashboard_2!$H$6,0)</f>
        <v>105.11544417659999</v>
      </c>
      <c r="AH62" s="217">
        <f>IFERROR(AH6/Dashboard_2!$H$6,0)</f>
        <v>105.11544417659999</v>
      </c>
      <c r="AI62" s="217">
        <f>IFERROR(AI6/Dashboard_2!$H$6,0)</f>
        <v>105.11544417659999</v>
      </c>
      <c r="AJ62" s="217">
        <f>IFERROR(AJ6/Dashboard_2!$H$6,0)</f>
        <v>105.11544417659999</v>
      </c>
      <c r="AK62" s="217">
        <f>IFERROR(AK6/Dashboard_2!$H$6,0)</f>
        <v>105.11544417659999</v>
      </c>
      <c r="AL62" s="217">
        <f>IFERROR(AL6/Dashboard_2!$H$6,0)</f>
        <v>105.11544417659999</v>
      </c>
      <c r="AM62" s="217">
        <f>IFERROR(AM6/Dashboard_2!$H$6,0)</f>
        <v>105.11544417659999</v>
      </c>
      <c r="AN62" s="217">
        <f>IFERROR(AN6/Dashboard_2!$H$6,0)</f>
        <v>105.11544417659999</v>
      </c>
      <c r="AO62" s="217">
        <f>IFERROR(AO6/Dashboard_2!$H$6,0)</f>
        <v>105.11544417659999</v>
      </c>
      <c r="AP62" s="217">
        <f>IFERROR(AP6/Dashboard_2!$H$6,0)</f>
        <v>105.11544417659999</v>
      </c>
      <c r="AQ62" s="217">
        <f>IFERROR(AQ6/Dashboard_2!$H$6,0)</f>
        <v>105.11544417659999</v>
      </c>
      <c r="AR62" s="217">
        <f>IFERROR(AR6/Dashboard_2!$H$6,0)</f>
        <v>105.11544417659999</v>
      </c>
      <c r="AS62" s="217">
        <f>IFERROR(AS6/Dashboard_2!$H$6,0)</f>
        <v>105.11544417659999</v>
      </c>
      <c r="AT62" s="217">
        <f>IFERROR(AT6/Dashboard_2!$H$6,0)</f>
        <v>105.11544417659999</v>
      </c>
      <c r="AU62" s="217">
        <f>IFERROR(AU6/Dashboard_2!$H$6,0)</f>
        <v>105.11544417659999</v>
      </c>
      <c r="AV62" s="217">
        <f>IFERROR(AV6/Dashboard_2!$H$6,0)</f>
        <v>105.11544417659999</v>
      </c>
      <c r="AW62" s="217">
        <f>IFERROR(AW6/Dashboard_2!$H$6,0)</f>
        <v>105.11544417659999</v>
      </c>
      <c r="AX62" s="217">
        <f>IFERROR(AX6/Dashboard_2!$H$6,0)</f>
        <v>105.11544417659999</v>
      </c>
      <c r="AY62" s="217">
        <f>IFERROR(AY6/Dashboard_2!$H$6,0)</f>
        <v>105.11544417659999</v>
      </c>
      <c r="AZ62" s="180"/>
      <c r="BA62" s="180"/>
    </row>
    <row r="63" spans="1:53" x14ac:dyDescent="0.45">
      <c r="A63" s="41" t="str">
        <f t="shared" si="2"/>
        <v>Tree installation ($)</v>
      </c>
      <c r="B63" s="217">
        <f>IFERROR(B7/Dashboard_2!$H$6,0)</f>
        <v>0</v>
      </c>
      <c r="C63" s="217">
        <f>IFERROR(C7/Dashboard_2!$H$6,0)</f>
        <v>0</v>
      </c>
      <c r="D63" s="217">
        <f>IFERROR(D7/Dashboard_2!$H$6,0)</f>
        <v>0</v>
      </c>
      <c r="E63" s="217">
        <f>IFERROR(E7/Dashboard_2!$H$6,0)</f>
        <v>0</v>
      </c>
      <c r="F63" s="217">
        <f>IFERROR(F7/Dashboard_2!$H$6,0)</f>
        <v>0</v>
      </c>
      <c r="G63" s="217">
        <f>IFERROR(G7/Dashboard_2!$H$6,0)</f>
        <v>0</v>
      </c>
      <c r="H63" s="217">
        <f>IFERROR(H7/Dashboard_2!$H$6,0)</f>
        <v>0</v>
      </c>
      <c r="I63" s="217">
        <f>IFERROR(I7/Dashboard_2!$H$6,0)</f>
        <v>0</v>
      </c>
      <c r="J63" s="217">
        <f>IFERROR(J7/Dashboard_2!$H$6,0)</f>
        <v>0</v>
      </c>
      <c r="K63" s="217">
        <f>IFERROR(K7/Dashboard_2!$H$6,0)</f>
        <v>0</v>
      </c>
      <c r="L63" s="217">
        <f>IFERROR(L7/Dashboard_2!$H$6,0)</f>
        <v>0</v>
      </c>
      <c r="M63" s="217">
        <f>IFERROR(M7/Dashboard_2!$H$6,0)</f>
        <v>0</v>
      </c>
      <c r="N63" s="217">
        <f>IFERROR(N7/Dashboard_2!$H$6,0)</f>
        <v>0</v>
      </c>
      <c r="O63" s="217">
        <f>IFERROR(O7/Dashboard_2!$H$6,0)</f>
        <v>0</v>
      </c>
      <c r="P63" s="217">
        <f>IFERROR(P7/Dashboard_2!$H$6,0)</f>
        <v>0</v>
      </c>
      <c r="Q63" s="217">
        <f>IFERROR(Q7/Dashboard_2!$H$6,0)</f>
        <v>0</v>
      </c>
      <c r="R63" s="217">
        <f>IFERROR(R7/Dashboard_2!$H$6,0)</f>
        <v>0</v>
      </c>
      <c r="S63" s="217">
        <f>IFERROR(S7/Dashboard_2!$H$6,0)</f>
        <v>0</v>
      </c>
      <c r="T63" s="217">
        <f>IFERROR(T7/Dashboard_2!$H$6,0)</f>
        <v>0</v>
      </c>
      <c r="U63" s="217">
        <f>IFERROR(U7/Dashboard_2!$H$6,0)</f>
        <v>0</v>
      </c>
      <c r="V63" s="217">
        <f>IFERROR(V7/Dashboard_2!$H$6,0)</f>
        <v>0</v>
      </c>
      <c r="W63" s="217">
        <f>IFERROR(W7/Dashboard_2!$H$6,0)</f>
        <v>0</v>
      </c>
      <c r="X63" s="217">
        <f>IFERROR(X7/Dashboard_2!$H$6,0)</f>
        <v>0</v>
      </c>
      <c r="Y63" s="217">
        <f>IFERROR(Y7/Dashboard_2!$H$6,0)</f>
        <v>0</v>
      </c>
      <c r="Z63" s="217">
        <f>IFERROR(Z7/Dashboard_2!$H$6,0)</f>
        <v>0</v>
      </c>
      <c r="AA63" s="217">
        <f>IFERROR(AA7/Dashboard_2!$H$6,0)</f>
        <v>0</v>
      </c>
      <c r="AB63" s="217">
        <f>IFERROR(AB7/Dashboard_2!$H$6,0)</f>
        <v>0</v>
      </c>
      <c r="AC63" s="217">
        <f>IFERROR(AC7/Dashboard_2!$H$6,0)</f>
        <v>0</v>
      </c>
      <c r="AD63" s="217">
        <f>IFERROR(AD7/Dashboard_2!$H$6,0)</f>
        <v>0</v>
      </c>
      <c r="AE63" s="217">
        <f>IFERROR(AE7/Dashboard_2!$H$6,0)</f>
        <v>0</v>
      </c>
      <c r="AF63" s="217">
        <f>IFERROR(AF7/Dashboard_2!$H$6,0)</f>
        <v>0</v>
      </c>
      <c r="AG63" s="217">
        <f>IFERROR(AG7/Dashboard_2!$H$6,0)</f>
        <v>0</v>
      </c>
      <c r="AH63" s="217">
        <f>IFERROR(AH7/Dashboard_2!$H$6,0)</f>
        <v>0</v>
      </c>
      <c r="AI63" s="217">
        <f>IFERROR(AI7/Dashboard_2!$H$6,0)</f>
        <v>0</v>
      </c>
      <c r="AJ63" s="217">
        <f>IFERROR(AJ7/Dashboard_2!$H$6,0)</f>
        <v>0</v>
      </c>
      <c r="AK63" s="217">
        <f>IFERROR(AK7/Dashboard_2!$H$6,0)</f>
        <v>0</v>
      </c>
      <c r="AL63" s="217">
        <f>IFERROR(AL7/Dashboard_2!$H$6,0)</f>
        <v>0</v>
      </c>
      <c r="AM63" s="217">
        <f>IFERROR(AM7/Dashboard_2!$H$6,0)</f>
        <v>0</v>
      </c>
      <c r="AN63" s="217">
        <f>IFERROR(AN7/Dashboard_2!$H$6,0)</f>
        <v>0</v>
      </c>
      <c r="AO63" s="217">
        <f>IFERROR(AO7/Dashboard_2!$H$6,0)</f>
        <v>0</v>
      </c>
      <c r="AP63" s="217">
        <f>IFERROR(AP7/Dashboard_2!$H$6,0)</f>
        <v>0</v>
      </c>
      <c r="AQ63" s="217">
        <f>IFERROR(AQ7/Dashboard_2!$H$6,0)</f>
        <v>0</v>
      </c>
      <c r="AR63" s="217">
        <f>IFERROR(AR7/Dashboard_2!$H$6,0)</f>
        <v>0</v>
      </c>
      <c r="AS63" s="217">
        <f>IFERROR(AS7/Dashboard_2!$H$6,0)</f>
        <v>0</v>
      </c>
      <c r="AT63" s="217">
        <f>IFERROR(AT7/Dashboard_2!$H$6,0)</f>
        <v>0</v>
      </c>
      <c r="AU63" s="217">
        <f>IFERROR(AU7/Dashboard_2!$H$6,0)</f>
        <v>0</v>
      </c>
      <c r="AV63" s="217">
        <f>IFERROR(AV7/Dashboard_2!$H$6,0)</f>
        <v>0</v>
      </c>
      <c r="AW63" s="217">
        <f>IFERROR(AW7/Dashboard_2!$H$6,0)</f>
        <v>0</v>
      </c>
      <c r="AX63" s="217">
        <f>IFERROR(AX7/Dashboard_2!$H$6,0)</f>
        <v>0</v>
      </c>
      <c r="AY63" s="217">
        <f>IFERROR(AY7/Dashboard_2!$H$6,0)</f>
        <v>0</v>
      </c>
      <c r="AZ63" s="180"/>
      <c r="BA63" s="180"/>
    </row>
    <row r="64" spans="1:53" x14ac:dyDescent="0.45">
      <c r="A64" s="41" t="str">
        <f t="shared" si="2"/>
        <v>Unbundled installation</v>
      </c>
      <c r="B64" s="217">
        <f>IFERROR(B8/Dashboard_2!$H$6,0)</f>
        <v>24.333333333333336</v>
      </c>
      <c r="C64" s="217">
        <f>IFERROR(C8/Dashboard_2!$H$6,0)</f>
        <v>24.333333333333336</v>
      </c>
      <c r="D64" s="217">
        <f>IFERROR(D8/Dashboard_2!$H$6,0)</f>
        <v>24.333333333333336</v>
      </c>
      <c r="E64" s="217">
        <f>IFERROR(E8/Dashboard_2!$H$6,0)</f>
        <v>24.333333333333336</v>
      </c>
      <c r="F64" s="217">
        <f>IFERROR(F8/Dashboard_2!$H$6,0)</f>
        <v>24.333333333333336</v>
      </c>
      <c r="G64" s="217">
        <f>IFERROR(G8/Dashboard_2!$H$6,0)</f>
        <v>24.333333333333336</v>
      </c>
      <c r="H64" s="217">
        <f>IFERROR(H8/Dashboard_2!$H$6,0)</f>
        <v>24.333333333333336</v>
      </c>
      <c r="I64" s="217">
        <f>IFERROR(I8/Dashboard_2!$H$6,0)</f>
        <v>24.333333333333336</v>
      </c>
      <c r="J64" s="217">
        <f>IFERROR(J8/Dashboard_2!$H$6,0)</f>
        <v>24.333333333333336</v>
      </c>
      <c r="K64" s="217">
        <f>IFERROR(K8/Dashboard_2!$H$6,0)</f>
        <v>24.333333333333336</v>
      </c>
      <c r="L64" s="217">
        <f>IFERROR(L8/Dashboard_2!$H$6,0)</f>
        <v>24.333333333333336</v>
      </c>
      <c r="M64" s="217">
        <f>IFERROR(M8/Dashboard_2!$H$6,0)</f>
        <v>24.333333333333336</v>
      </c>
      <c r="N64" s="217">
        <f>IFERROR(N8/Dashboard_2!$H$6,0)</f>
        <v>24.333333333333336</v>
      </c>
      <c r="O64" s="217">
        <f>IFERROR(O8/Dashboard_2!$H$6,0)</f>
        <v>24.333333333333336</v>
      </c>
      <c r="P64" s="217">
        <f>IFERROR(P8/Dashboard_2!$H$6,0)</f>
        <v>24.333333333333336</v>
      </c>
      <c r="Q64" s="217">
        <f>IFERROR(Q8/Dashboard_2!$H$6,0)</f>
        <v>24.333333333333336</v>
      </c>
      <c r="R64" s="217">
        <f>IFERROR(R8/Dashboard_2!$H$6,0)</f>
        <v>24.333333333333336</v>
      </c>
      <c r="S64" s="217">
        <f>IFERROR(S8/Dashboard_2!$H$6,0)</f>
        <v>24.333333333333336</v>
      </c>
      <c r="T64" s="217">
        <f>IFERROR(T8/Dashboard_2!$H$6,0)</f>
        <v>24.333333333333336</v>
      </c>
      <c r="U64" s="217">
        <f>IFERROR(U8/Dashboard_2!$H$6,0)</f>
        <v>24.333333333333336</v>
      </c>
      <c r="V64" s="217">
        <f>IFERROR(V8/Dashboard_2!$H$6,0)</f>
        <v>24.333333333333336</v>
      </c>
      <c r="W64" s="217">
        <f>IFERROR(W8/Dashboard_2!$H$6,0)</f>
        <v>24.333333333333336</v>
      </c>
      <c r="X64" s="217">
        <f>IFERROR(X8/Dashboard_2!$H$6,0)</f>
        <v>24.333333333333336</v>
      </c>
      <c r="Y64" s="217">
        <f>IFERROR(Y8/Dashboard_2!$H$6,0)</f>
        <v>24.333333333333336</v>
      </c>
      <c r="Z64" s="217">
        <f>IFERROR(Z8/Dashboard_2!$H$6,0)</f>
        <v>24.333333333333336</v>
      </c>
      <c r="AA64" s="217">
        <f>IFERROR(AA8/Dashboard_2!$H$6,0)</f>
        <v>24.333333333333336</v>
      </c>
      <c r="AB64" s="217">
        <f>IFERROR(AB8/Dashboard_2!$H$6,0)</f>
        <v>24.333333333333336</v>
      </c>
      <c r="AC64" s="217">
        <f>IFERROR(AC8/Dashboard_2!$H$6,0)</f>
        <v>24.333333333333336</v>
      </c>
      <c r="AD64" s="217">
        <f>IFERROR(AD8/Dashboard_2!$H$6,0)</f>
        <v>24.333333333333336</v>
      </c>
      <c r="AE64" s="217">
        <f>IFERROR(AE8/Dashboard_2!$H$6,0)</f>
        <v>24.333333333333336</v>
      </c>
      <c r="AF64" s="217">
        <f>IFERROR(AF8/Dashboard_2!$H$6,0)</f>
        <v>24.333333333333336</v>
      </c>
      <c r="AG64" s="217">
        <f>IFERROR(AG8/Dashboard_2!$H$6,0)</f>
        <v>24.333333333333336</v>
      </c>
      <c r="AH64" s="217">
        <f>IFERROR(AH8/Dashboard_2!$H$6,0)</f>
        <v>24.333333333333336</v>
      </c>
      <c r="AI64" s="217">
        <f>IFERROR(AI8/Dashboard_2!$H$6,0)</f>
        <v>24.333333333333336</v>
      </c>
      <c r="AJ64" s="217">
        <f>IFERROR(AJ8/Dashboard_2!$H$6,0)</f>
        <v>24.333333333333336</v>
      </c>
      <c r="AK64" s="217">
        <f>IFERROR(AK8/Dashboard_2!$H$6,0)</f>
        <v>24.333333333333336</v>
      </c>
      <c r="AL64" s="217">
        <f>IFERROR(AL8/Dashboard_2!$H$6,0)</f>
        <v>24.333333333333336</v>
      </c>
      <c r="AM64" s="217">
        <f>IFERROR(AM8/Dashboard_2!$H$6,0)</f>
        <v>24.333333333333336</v>
      </c>
      <c r="AN64" s="217">
        <f>IFERROR(AN8/Dashboard_2!$H$6,0)</f>
        <v>24.333333333333336</v>
      </c>
      <c r="AO64" s="217">
        <f>IFERROR(AO8/Dashboard_2!$H$6,0)</f>
        <v>24.333333333333336</v>
      </c>
      <c r="AP64" s="217">
        <f>IFERROR(AP8/Dashboard_2!$H$6,0)</f>
        <v>24.333333333333336</v>
      </c>
      <c r="AQ64" s="217">
        <f>IFERROR(AQ8/Dashboard_2!$H$6,0)</f>
        <v>24.333333333333336</v>
      </c>
      <c r="AR64" s="217">
        <f>IFERROR(AR8/Dashboard_2!$H$6,0)</f>
        <v>24.333333333333336</v>
      </c>
      <c r="AS64" s="217">
        <f>IFERROR(AS8/Dashboard_2!$H$6,0)</f>
        <v>24.333333333333336</v>
      </c>
      <c r="AT64" s="217">
        <f>IFERROR(AT8/Dashboard_2!$H$6,0)</f>
        <v>24.333333333333336</v>
      </c>
      <c r="AU64" s="217">
        <f>IFERROR(AU8/Dashboard_2!$H$6,0)</f>
        <v>24.333333333333336</v>
      </c>
      <c r="AV64" s="217">
        <f>IFERROR(AV8/Dashboard_2!$H$6,0)</f>
        <v>24.333333333333336</v>
      </c>
      <c r="AW64" s="217">
        <f>IFERROR(AW8/Dashboard_2!$H$6,0)</f>
        <v>24.333333333333336</v>
      </c>
      <c r="AX64" s="217">
        <f>IFERROR(AX8/Dashboard_2!$H$6,0)</f>
        <v>24.333333333333336</v>
      </c>
      <c r="AY64" s="217">
        <f>IFERROR(AY8/Dashboard_2!$H$6,0)</f>
        <v>24.333333333333336</v>
      </c>
      <c r="AZ64" s="180"/>
      <c r="BA64" s="180"/>
    </row>
    <row r="65" spans="1:53" x14ac:dyDescent="0.45">
      <c r="A65" s="41" t="str">
        <f t="shared" si="2"/>
        <v>Mulch cost ($/m3)</v>
      </c>
      <c r="B65" s="217">
        <f>IFERROR(B9/Dashboard_2!$H$6,0)</f>
        <v>5.4946862696699998</v>
      </c>
      <c r="C65" s="217">
        <f>IFERROR(C9/Dashboard_2!$H$6,0)</f>
        <v>5.4946862696699998</v>
      </c>
      <c r="D65" s="217">
        <f>IFERROR(D9/Dashboard_2!$H$6,0)</f>
        <v>5.4946862696699998</v>
      </c>
      <c r="E65" s="217">
        <f>IFERROR(E9/Dashboard_2!$H$6,0)</f>
        <v>5.4946862696699998</v>
      </c>
      <c r="F65" s="217">
        <f>IFERROR(F9/Dashboard_2!$H$6,0)</f>
        <v>5.4946862696699998</v>
      </c>
      <c r="G65" s="217">
        <f>IFERROR(G9/Dashboard_2!$H$6,0)</f>
        <v>5.4946862696699998</v>
      </c>
      <c r="H65" s="217">
        <f>IFERROR(H9/Dashboard_2!$H$6,0)</f>
        <v>5.4946862696699998</v>
      </c>
      <c r="I65" s="217">
        <f>IFERROR(I9/Dashboard_2!$H$6,0)</f>
        <v>5.4946862696699998</v>
      </c>
      <c r="J65" s="217">
        <f>IFERROR(J9/Dashboard_2!$H$6,0)</f>
        <v>5.4946862696699998</v>
      </c>
      <c r="K65" s="217">
        <f>IFERROR(K9/Dashboard_2!$H$6,0)</f>
        <v>5.4946862696699998</v>
      </c>
      <c r="L65" s="217">
        <f>IFERROR(L9/Dashboard_2!$H$6,0)</f>
        <v>5.4946862696699998</v>
      </c>
      <c r="M65" s="217">
        <f>IFERROR(M9/Dashboard_2!$H$6,0)</f>
        <v>5.4946862696699998</v>
      </c>
      <c r="N65" s="217">
        <f>IFERROR(N9/Dashboard_2!$H$6,0)</f>
        <v>5.4946862696699998</v>
      </c>
      <c r="O65" s="217">
        <f>IFERROR(O9/Dashboard_2!$H$6,0)</f>
        <v>5.4946862696699998</v>
      </c>
      <c r="P65" s="217">
        <f>IFERROR(P9/Dashboard_2!$H$6,0)</f>
        <v>5.4946862696699998</v>
      </c>
      <c r="Q65" s="217">
        <f>IFERROR(Q9/Dashboard_2!$H$6,0)</f>
        <v>5.4946862696699998</v>
      </c>
      <c r="R65" s="217">
        <f>IFERROR(R9/Dashboard_2!$H$6,0)</f>
        <v>5.4946862696699998</v>
      </c>
      <c r="S65" s="217">
        <f>IFERROR(S9/Dashboard_2!$H$6,0)</f>
        <v>5.4946862696699998</v>
      </c>
      <c r="T65" s="217">
        <f>IFERROR(T9/Dashboard_2!$H$6,0)</f>
        <v>5.4946862696699998</v>
      </c>
      <c r="U65" s="217">
        <f>IFERROR(U9/Dashboard_2!$H$6,0)</f>
        <v>5.4946862696699998</v>
      </c>
      <c r="V65" s="217">
        <f>IFERROR(V9/Dashboard_2!$H$6,0)</f>
        <v>5.4946862696699998</v>
      </c>
      <c r="W65" s="217">
        <f>IFERROR(W9/Dashboard_2!$H$6,0)</f>
        <v>5.4946862696699998</v>
      </c>
      <c r="X65" s="217">
        <f>IFERROR(X9/Dashboard_2!$H$6,0)</f>
        <v>5.4946862696699998</v>
      </c>
      <c r="Y65" s="217">
        <f>IFERROR(Y9/Dashboard_2!$H$6,0)</f>
        <v>5.4946862696699998</v>
      </c>
      <c r="Z65" s="217">
        <f>IFERROR(Z9/Dashboard_2!$H$6,0)</f>
        <v>5.4946862696699998</v>
      </c>
      <c r="AA65" s="217">
        <f>IFERROR(AA9/Dashboard_2!$H$6,0)</f>
        <v>5.4946862696699998</v>
      </c>
      <c r="AB65" s="217">
        <f>IFERROR(AB9/Dashboard_2!$H$6,0)</f>
        <v>5.4946862696699998</v>
      </c>
      <c r="AC65" s="217">
        <f>IFERROR(AC9/Dashboard_2!$H$6,0)</f>
        <v>5.4946862696699998</v>
      </c>
      <c r="AD65" s="217">
        <f>IFERROR(AD9/Dashboard_2!$H$6,0)</f>
        <v>5.4946862696699998</v>
      </c>
      <c r="AE65" s="217">
        <f>IFERROR(AE9/Dashboard_2!$H$6,0)</f>
        <v>5.4946862696699998</v>
      </c>
      <c r="AF65" s="217">
        <f>IFERROR(AF9/Dashboard_2!$H$6,0)</f>
        <v>5.4946862696699998</v>
      </c>
      <c r="AG65" s="217">
        <f>IFERROR(AG9/Dashboard_2!$H$6,0)</f>
        <v>5.4946862696699998</v>
      </c>
      <c r="AH65" s="217">
        <f>IFERROR(AH9/Dashboard_2!$H$6,0)</f>
        <v>5.4946862696699998</v>
      </c>
      <c r="AI65" s="217">
        <f>IFERROR(AI9/Dashboard_2!$H$6,0)</f>
        <v>5.4946862696699998</v>
      </c>
      <c r="AJ65" s="217">
        <f>IFERROR(AJ9/Dashboard_2!$H$6,0)</f>
        <v>5.4946862696699998</v>
      </c>
      <c r="AK65" s="217">
        <f>IFERROR(AK9/Dashboard_2!$H$6,0)</f>
        <v>5.4946862696699998</v>
      </c>
      <c r="AL65" s="217">
        <f>IFERROR(AL9/Dashboard_2!$H$6,0)</f>
        <v>5.4946862696699998</v>
      </c>
      <c r="AM65" s="217">
        <f>IFERROR(AM9/Dashboard_2!$H$6,0)</f>
        <v>5.4946862696699998</v>
      </c>
      <c r="AN65" s="217">
        <f>IFERROR(AN9/Dashboard_2!$H$6,0)</f>
        <v>5.4946862696699998</v>
      </c>
      <c r="AO65" s="217">
        <f>IFERROR(AO9/Dashboard_2!$H$6,0)</f>
        <v>5.4946862696699998</v>
      </c>
      <c r="AP65" s="217">
        <f>IFERROR(AP9/Dashboard_2!$H$6,0)</f>
        <v>5.4946862696699998</v>
      </c>
      <c r="AQ65" s="217">
        <f>IFERROR(AQ9/Dashboard_2!$H$6,0)</f>
        <v>5.4946862696699998</v>
      </c>
      <c r="AR65" s="217">
        <f>IFERROR(AR9/Dashboard_2!$H$6,0)</f>
        <v>5.4946862696699998</v>
      </c>
      <c r="AS65" s="217">
        <f>IFERROR(AS9/Dashboard_2!$H$6,0)</f>
        <v>5.4946862696699998</v>
      </c>
      <c r="AT65" s="217">
        <f>IFERROR(AT9/Dashboard_2!$H$6,0)</f>
        <v>5.4946862696699998</v>
      </c>
      <c r="AU65" s="217">
        <f>IFERROR(AU9/Dashboard_2!$H$6,0)</f>
        <v>5.4946862696699998</v>
      </c>
      <c r="AV65" s="217">
        <f>IFERROR(AV9/Dashboard_2!$H$6,0)</f>
        <v>5.4946862696699998</v>
      </c>
      <c r="AW65" s="217">
        <f>IFERROR(AW9/Dashboard_2!$H$6,0)</f>
        <v>5.4946862696699998</v>
      </c>
      <c r="AX65" s="217">
        <f>IFERROR(AX9/Dashboard_2!$H$6,0)</f>
        <v>5.4946862696699998</v>
      </c>
      <c r="AY65" s="217">
        <f>IFERROR(AY9/Dashboard_2!$H$6,0)</f>
        <v>5.4946862696699998</v>
      </c>
      <c r="AZ65" s="180"/>
      <c r="BA65" s="180"/>
    </row>
    <row r="66" spans="1:53" x14ac:dyDescent="0.45">
      <c r="A66" s="41" t="str">
        <f t="shared" si="2"/>
        <v>Stakes and ties ($)</v>
      </c>
      <c r="B66" s="217">
        <f>IFERROR(B10/Dashboard_2!$H$6,0)</f>
        <v>70.199999999999989</v>
      </c>
      <c r="C66" s="217">
        <f>IFERROR(C10/Dashboard_2!$H$6,0)</f>
        <v>70.199999999999989</v>
      </c>
      <c r="D66" s="217">
        <f>IFERROR(D10/Dashboard_2!$H$6,0)</f>
        <v>70.199999999999989</v>
      </c>
      <c r="E66" s="217">
        <f>IFERROR(E10/Dashboard_2!$H$6,0)</f>
        <v>70.199999999999989</v>
      </c>
      <c r="F66" s="217">
        <f>IFERROR(F10/Dashboard_2!$H$6,0)</f>
        <v>70.199999999999989</v>
      </c>
      <c r="G66" s="217">
        <f>IFERROR(G10/Dashboard_2!$H$6,0)</f>
        <v>70.199999999999989</v>
      </c>
      <c r="H66" s="217">
        <f>IFERROR(H10/Dashboard_2!$H$6,0)</f>
        <v>70.199999999999989</v>
      </c>
      <c r="I66" s="217">
        <f>IFERROR(I10/Dashboard_2!$H$6,0)</f>
        <v>70.199999999999989</v>
      </c>
      <c r="J66" s="217">
        <f>IFERROR(J10/Dashboard_2!$H$6,0)</f>
        <v>70.199999999999989</v>
      </c>
      <c r="K66" s="217">
        <f>IFERROR(K10/Dashboard_2!$H$6,0)</f>
        <v>70.199999999999989</v>
      </c>
      <c r="L66" s="217">
        <f>IFERROR(L10/Dashboard_2!$H$6,0)</f>
        <v>70.199999999999989</v>
      </c>
      <c r="M66" s="217">
        <f>IFERROR(M10/Dashboard_2!$H$6,0)</f>
        <v>70.199999999999989</v>
      </c>
      <c r="N66" s="217">
        <f>IFERROR(N10/Dashboard_2!$H$6,0)</f>
        <v>70.199999999999989</v>
      </c>
      <c r="O66" s="217">
        <f>IFERROR(O10/Dashboard_2!$H$6,0)</f>
        <v>70.199999999999989</v>
      </c>
      <c r="P66" s="217">
        <f>IFERROR(P10/Dashboard_2!$H$6,0)</f>
        <v>70.199999999999989</v>
      </c>
      <c r="Q66" s="217">
        <f>IFERROR(Q10/Dashboard_2!$H$6,0)</f>
        <v>70.199999999999989</v>
      </c>
      <c r="R66" s="217">
        <f>IFERROR(R10/Dashboard_2!$H$6,0)</f>
        <v>70.199999999999989</v>
      </c>
      <c r="S66" s="217">
        <f>IFERROR(S10/Dashboard_2!$H$6,0)</f>
        <v>70.199999999999989</v>
      </c>
      <c r="T66" s="217">
        <f>IFERROR(T10/Dashboard_2!$H$6,0)</f>
        <v>70.199999999999989</v>
      </c>
      <c r="U66" s="217">
        <f>IFERROR(U10/Dashboard_2!$H$6,0)</f>
        <v>70.199999999999989</v>
      </c>
      <c r="V66" s="217">
        <f>IFERROR(V10/Dashboard_2!$H$6,0)</f>
        <v>70.199999999999989</v>
      </c>
      <c r="W66" s="217">
        <f>IFERROR(W10/Dashboard_2!$H$6,0)</f>
        <v>70.199999999999989</v>
      </c>
      <c r="X66" s="217">
        <f>IFERROR(X10/Dashboard_2!$H$6,0)</f>
        <v>70.199999999999989</v>
      </c>
      <c r="Y66" s="217">
        <f>IFERROR(Y10/Dashboard_2!$H$6,0)</f>
        <v>70.199999999999989</v>
      </c>
      <c r="Z66" s="217">
        <f>IFERROR(Z10/Dashboard_2!$H$6,0)</f>
        <v>70.199999999999989</v>
      </c>
      <c r="AA66" s="217">
        <f>IFERROR(AA10/Dashboard_2!$H$6,0)</f>
        <v>70.199999999999989</v>
      </c>
      <c r="AB66" s="217">
        <f>IFERROR(AB10/Dashboard_2!$H$6,0)</f>
        <v>70.199999999999989</v>
      </c>
      <c r="AC66" s="217">
        <f>IFERROR(AC10/Dashboard_2!$H$6,0)</f>
        <v>70.199999999999989</v>
      </c>
      <c r="AD66" s="217">
        <f>IFERROR(AD10/Dashboard_2!$H$6,0)</f>
        <v>70.199999999999989</v>
      </c>
      <c r="AE66" s="217">
        <f>IFERROR(AE10/Dashboard_2!$H$6,0)</f>
        <v>70.199999999999989</v>
      </c>
      <c r="AF66" s="217">
        <f>IFERROR(AF10/Dashboard_2!$H$6,0)</f>
        <v>70.199999999999989</v>
      </c>
      <c r="AG66" s="217">
        <f>IFERROR(AG10/Dashboard_2!$H$6,0)</f>
        <v>70.199999999999989</v>
      </c>
      <c r="AH66" s="217">
        <f>IFERROR(AH10/Dashboard_2!$H$6,0)</f>
        <v>70.199999999999989</v>
      </c>
      <c r="AI66" s="217">
        <f>IFERROR(AI10/Dashboard_2!$H$6,0)</f>
        <v>70.199999999999989</v>
      </c>
      <c r="AJ66" s="217">
        <f>IFERROR(AJ10/Dashboard_2!$H$6,0)</f>
        <v>70.199999999999989</v>
      </c>
      <c r="AK66" s="217">
        <f>IFERROR(AK10/Dashboard_2!$H$6,0)</f>
        <v>70.199999999999989</v>
      </c>
      <c r="AL66" s="217">
        <f>IFERROR(AL10/Dashboard_2!$H$6,0)</f>
        <v>70.199999999999989</v>
      </c>
      <c r="AM66" s="217">
        <f>IFERROR(AM10/Dashboard_2!$H$6,0)</f>
        <v>70.199999999999989</v>
      </c>
      <c r="AN66" s="217">
        <f>IFERROR(AN10/Dashboard_2!$H$6,0)</f>
        <v>70.199999999999989</v>
      </c>
      <c r="AO66" s="217">
        <f>IFERROR(AO10/Dashboard_2!$H$6,0)</f>
        <v>70.199999999999989</v>
      </c>
      <c r="AP66" s="217">
        <f>IFERROR(AP10/Dashboard_2!$H$6,0)</f>
        <v>70.199999999999989</v>
      </c>
      <c r="AQ66" s="217">
        <f>IFERROR(AQ10/Dashboard_2!$H$6,0)</f>
        <v>70.199999999999989</v>
      </c>
      <c r="AR66" s="217">
        <f>IFERROR(AR10/Dashboard_2!$H$6,0)</f>
        <v>70.199999999999989</v>
      </c>
      <c r="AS66" s="217">
        <f>IFERROR(AS10/Dashboard_2!$H$6,0)</f>
        <v>70.199999999999989</v>
      </c>
      <c r="AT66" s="217">
        <f>IFERROR(AT10/Dashboard_2!$H$6,0)</f>
        <v>70.199999999999989</v>
      </c>
      <c r="AU66" s="217">
        <f>IFERROR(AU10/Dashboard_2!$H$6,0)</f>
        <v>70.199999999999989</v>
      </c>
      <c r="AV66" s="217">
        <f>IFERROR(AV10/Dashboard_2!$H$6,0)</f>
        <v>70.199999999999989</v>
      </c>
      <c r="AW66" s="217">
        <f>IFERROR(AW10/Dashboard_2!$H$6,0)</f>
        <v>70.199999999999989</v>
      </c>
      <c r="AX66" s="217">
        <f>IFERROR(AX10/Dashboard_2!$H$6,0)</f>
        <v>70.199999999999989</v>
      </c>
      <c r="AY66" s="217">
        <f>IFERROR(AY10/Dashboard_2!$H$6,0)</f>
        <v>70.199999999999989</v>
      </c>
      <c r="AZ66" s="180"/>
      <c r="BA66" s="180"/>
    </row>
    <row r="67" spans="1:53" x14ac:dyDescent="0.45">
      <c r="A67" s="41" t="str">
        <f t="shared" si="2"/>
        <v>Tree removal</v>
      </c>
      <c r="B67" s="217">
        <f>IFERROR(B11/Dashboard_2!$H$6,0)</f>
        <v>0</v>
      </c>
      <c r="C67" s="217">
        <f>IFERROR(C11/Dashboard_2!$H$6,0)</f>
        <v>0</v>
      </c>
      <c r="D67" s="217">
        <f>IFERROR(D11/Dashboard_2!$H$6,0)</f>
        <v>0</v>
      </c>
      <c r="E67" s="217">
        <f>IFERROR(E11/Dashboard_2!$H$6,0)</f>
        <v>0</v>
      </c>
      <c r="F67" s="217">
        <f>IFERROR(F11/Dashboard_2!$H$6,0)</f>
        <v>0</v>
      </c>
      <c r="G67" s="217">
        <f>IFERROR(G11/Dashboard_2!$H$6,0)</f>
        <v>0</v>
      </c>
      <c r="H67" s="217">
        <f>IFERROR(H11/Dashboard_2!$H$6,0)</f>
        <v>50.504648363171363</v>
      </c>
      <c r="I67" s="217">
        <f>IFERROR(I11/Dashboard_2!$H$6,0)</f>
        <v>102.27191293542201</v>
      </c>
      <c r="J67" s="217">
        <f>IFERROR(J11/Dashboard_2!$H$6,0)</f>
        <v>155.33335912197893</v>
      </c>
      <c r="K67" s="217">
        <f>IFERROR(K11/Dashboard_2!$H$6,0)</f>
        <v>209.72134146319976</v>
      </c>
      <c r="L67" s="217">
        <f>IFERROR(L11/Dashboard_2!$H$6,0)</f>
        <v>265.46902336295113</v>
      </c>
      <c r="M67" s="217">
        <f>IFERROR(M11/Dashboard_2!$H$6,0)</f>
        <v>322.61039731019628</v>
      </c>
      <c r="N67" s="217">
        <f>IFERROR(N11/Dashboard_2!$H$6,0)</f>
        <v>381.18030560612254</v>
      </c>
      <c r="O67" s="217">
        <f>IFERROR(O11/Dashboard_2!$H$6,0)</f>
        <v>441.21446160944697</v>
      </c>
      <c r="P67" s="217">
        <f>IFERROR(P11/Dashboard_2!$H$6,0)</f>
        <v>502.74947151285448</v>
      </c>
      <c r="Q67" s="217">
        <f>IFERROR(Q11/Dashboard_2!$H$6,0)</f>
        <v>565.82285666384723</v>
      </c>
      <c r="R67" s="217">
        <f>IFERROR(R11/Dashboard_2!$H$6,0)</f>
        <v>630.47307644361467</v>
      </c>
      <c r="S67" s="217">
        <f>IFERROR(S11/Dashboard_2!$H$6,0)</f>
        <v>696.73955171787645</v>
      </c>
      <c r="T67" s="217">
        <f>IFERROR(T11/Dashboard_2!$H$6,0)</f>
        <v>764.66268887399463</v>
      </c>
      <c r="U67" s="217">
        <f>IFERROR(U11/Dashboard_2!$H$6,0)</f>
        <v>834.28390445901596</v>
      </c>
      <c r="V67" s="217">
        <f>IFERROR(V11/Dashboard_2!$H$6,0)</f>
        <v>905.64565043366269</v>
      </c>
      <c r="W67" s="217">
        <f>IFERROR(W11/Dashboard_2!$H$6,0)</f>
        <v>978.79144005767546</v>
      </c>
      <c r="X67" s="217">
        <f>IFERROR(X11/Dashboard_2!$H$6,0)</f>
        <v>1053.7658744222888</v>
      </c>
      <c r="Y67" s="217">
        <f>IFERROR(Y11/Dashboard_2!$H$6,0)</f>
        <v>1130.6146696460173</v>
      </c>
      <c r="Z67" s="217">
        <f>IFERROR(Z11/Dashboard_2!$H$6,0)</f>
        <v>1209.3846847503391</v>
      </c>
      <c r="AA67" s="217">
        <f>IFERROR(AA11/Dashboard_2!$H$6,0)</f>
        <v>1290.1239502322687</v>
      </c>
      <c r="AB67" s="217">
        <f>IFERROR(AB11/Dashboard_2!$H$6,0)</f>
        <v>1372.8816973512469</v>
      </c>
      <c r="AC67" s="217">
        <f>IFERROR(AC11/Dashboard_2!$H$6,0)</f>
        <v>1457.7083881481992</v>
      </c>
      <c r="AD67" s="217">
        <f>IFERROR(AD11/Dashboard_2!$H$6,0)</f>
        <v>1544.6557462150754</v>
      </c>
      <c r="AE67" s="217">
        <f>IFERROR(AE11/Dashboard_2!$H$6,0)</f>
        <v>1633.7767882336236</v>
      </c>
      <c r="AF67" s="217">
        <f>IFERROR(AF11/Dashboard_2!$H$6,0)</f>
        <v>1725.1258563026356</v>
      </c>
      <c r="AG67" s="217">
        <f>IFERROR(AG11/Dashboard_2!$H$6,0)</f>
        <v>1818.7586510733727</v>
      </c>
      <c r="AH67" s="217">
        <f>IFERROR(AH11/Dashboard_2!$H$6,0)</f>
        <v>1914.7322657133784</v>
      </c>
      <c r="AI67" s="217">
        <f>IFERROR(AI11/Dashboard_2!$H$6,0)</f>
        <v>2013.1052207193841</v>
      </c>
      <c r="AJ67" s="217">
        <f>IFERROR(AJ11/Dashboard_2!$H$6,0)</f>
        <v>2113.9374996005399</v>
      </c>
      <c r="AK67" s="217">
        <f>IFERROR(AK11/Dashboard_2!$H$6,0)</f>
        <v>2217.2905854537248</v>
      </c>
      <c r="AL67" s="217">
        <f>IFERROR(AL11/Dashboard_2!$H$6,0)</f>
        <v>2323.2274984532391</v>
      </c>
      <c r="AM67" s="217">
        <f>IFERROR(AM11/Dashboard_2!$H$6,0)</f>
        <v>2431.8128342777413</v>
      </c>
      <c r="AN67" s="217">
        <f>IFERROR(AN11/Dashboard_2!$H$6,0)</f>
        <v>2543.112803497856</v>
      </c>
      <c r="AO67" s="217">
        <f>IFERROR(AO11/Dashboard_2!$H$6,0)</f>
        <v>2657.1952719484734</v>
      </c>
      <c r="AP67" s="217">
        <f>IFERROR(AP11/Dashboard_2!$H$6,0)</f>
        <v>2774.1298021103562</v>
      </c>
      <c r="AQ67" s="217">
        <f>IFERROR(AQ11/Dashboard_2!$H$6,0)</f>
        <v>2893.9876955262862</v>
      </c>
      <c r="AR67" s="217">
        <f>IFERROR(AR11/Dashboard_2!$H$6,0)</f>
        <v>3016.8420362776146</v>
      </c>
      <c r="AS67" s="217">
        <f>IFERROR(AS11/Dashboard_2!$H$6,0)</f>
        <v>3142.7677355477263</v>
      </c>
      <c r="AT67" s="217">
        <f>IFERROR(AT11/Dashboard_2!$H$6,0)</f>
        <v>3271.8415772995904</v>
      </c>
      <c r="AU67" s="217">
        <f>IFERROR(AU11/Dashboard_2!$H$6,0)</f>
        <v>3404.1422650952513</v>
      </c>
      <c r="AV67" s="217">
        <f>IFERROR(AV11/Dashboard_2!$H$6,0)</f>
        <v>3539.750470085804</v>
      </c>
      <c r="AW67" s="217">
        <f>IFERROR(AW11/Dashboard_2!$H$6,0)</f>
        <v>3678.7488802011208</v>
      </c>
      <c r="AX67" s="217">
        <f>IFERROR(AX11/Dashboard_2!$H$6,0)</f>
        <v>3821.2222505693194</v>
      </c>
      <c r="AY67" s="217">
        <f>IFERROR(AY11/Dashboard_2!$H$6,0)</f>
        <v>3967.2574551967241</v>
      </c>
      <c r="AZ67" s="180"/>
      <c r="BA67" s="180"/>
    </row>
    <row r="68" spans="1:53" x14ac:dyDescent="0.45">
      <c r="A68" s="41" t="str">
        <f t="shared" si="2"/>
        <v>Soil cost ($/m3)</v>
      </c>
      <c r="B68" s="217">
        <f>IFERROR(B12/Dashboard_2!$H$6,0)</f>
        <v>17.901</v>
      </c>
      <c r="C68" s="217">
        <f>IFERROR(C12/Dashboard_2!$H$6,0)</f>
        <v>17.901</v>
      </c>
      <c r="D68" s="217">
        <f>IFERROR(D12/Dashboard_2!$H$6,0)</f>
        <v>17.901</v>
      </c>
      <c r="E68" s="217">
        <f>IFERROR(E12/Dashboard_2!$H$6,0)</f>
        <v>17.901</v>
      </c>
      <c r="F68" s="217">
        <f>IFERROR(F12/Dashboard_2!$H$6,0)</f>
        <v>17.901</v>
      </c>
      <c r="G68" s="217">
        <f>IFERROR(G12/Dashboard_2!$H$6,0)</f>
        <v>17.901</v>
      </c>
      <c r="H68" s="217">
        <f>IFERROR(H12/Dashboard_2!$H$6,0)</f>
        <v>17.901</v>
      </c>
      <c r="I68" s="217">
        <f>IFERROR(I12/Dashboard_2!$H$6,0)</f>
        <v>17.901</v>
      </c>
      <c r="J68" s="217">
        <f>IFERROR(J12/Dashboard_2!$H$6,0)</f>
        <v>17.901</v>
      </c>
      <c r="K68" s="217">
        <f>IFERROR(K12/Dashboard_2!$H$6,0)</f>
        <v>17.901</v>
      </c>
      <c r="L68" s="217">
        <f>IFERROR(L12/Dashboard_2!$H$6,0)</f>
        <v>17.901</v>
      </c>
      <c r="M68" s="217">
        <f>IFERROR(M12/Dashboard_2!$H$6,0)</f>
        <v>17.901</v>
      </c>
      <c r="N68" s="217">
        <f>IFERROR(N12/Dashboard_2!$H$6,0)</f>
        <v>17.901</v>
      </c>
      <c r="O68" s="217">
        <f>IFERROR(O12/Dashboard_2!$H$6,0)</f>
        <v>17.901</v>
      </c>
      <c r="P68" s="217">
        <f>IFERROR(P12/Dashboard_2!$H$6,0)</f>
        <v>17.901</v>
      </c>
      <c r="Q68" s="217">
        <f>IFERROR(Q12/Dashboard_2!$H$6,0)</f>
        <v>17.901</v>
      </c>
      <c r="R68" s="217">
        <f>IFERROR(R12/Dashboard_2!$H$6,0)</f>
        <v>17.901</v>
      </c>
      <c r="S68" s="217">
        <f>IFERROR(S12/Dashboard_2!$H$6,0)</f>
        <v>17.901</v>
      </c>
      <c r="T68" s="217">
        <f>IFERROR(T12/Dashboard_2!$H$6,0)</f>
        <v>17.901</v>
      </c>
      <c r="U68" s="217">
        <f>IFERROR(U12/Dashboard_2!$H$6,0)</f>
        <v>17.901</v>
      </c>
      <c r="V68" s="217">
        <f>IFERROR(V12/Dashboard_2!$H$6,0)</f>
        <v>17.901</v>
      </c>
      <c r="W68" s="217">
        <f>IFERROR(W12/Dashboard_2!$H$6,0)</f>
        <v>17.901</v>
      </c>
      <c r="X68" s="217">
        <f>IFERROR(X12/Dashboard_2!$H$6,0)</f>
        <v>17.901</v>
      </c>
      <c r="Y68" s="217">
        <f>IFERROR(Y12/Dashboard_2!$H$6,0)</f>
        <v>17.901</v>
      </c>
      <c r="Z68" s="217">
        <f>IFERROR(Z12/Dashboard_2!$H$6,0)</f>
        <v>17.901</v>
      </c>
      <c r="AA68" s="217">
        <f>IFERROR(AA12/Dashboard_2!$H$6,0)</f>
        <v>17.901</v>
      </c>
      <c r="AB68" s="217">
        <f>IFERROR(AB12/Dashboard_2!$H$6,0)</f>
        <v>17.901</v>
      </c>
      <c r="AC68" s="217">
        <f>IFERROR(AC12/Dashboard_2!$H$6,0)</f>
        <v>17.901</v>
      </c>
      <c r="AD68" s="217">
        <f>IFERROR(AD12/Dashboard_2!$H$6,0)</f>
        <v>17.901</v>
      </c>
      <c r="AE68" s="217">
        <f>IFERROR(AE12/Dashboard_2!$H$6,0)</f>
        <v>17.901</v>
      </c>
      <c r="AF68" s="217">
        <f>IFERROR(AF12/Dashboard_2!$H$6,0)</f>
        <v>17.901</v>
      </c>
      <c r="AG68" s="217">
        <f>IFERROR(AG12/Dashboard_2!$H$6,0)</f>
        <v>17.901</v>
      </c>
      <c r="AH68" s="217">
        <f>IFERROR(AH12/Dashboard_2!$H$6,0)</f>
        <v>17.901</v>
      </c>
      <c r="AI68" s="217">
        <f>IFERROR(AI12/Dashboard_2!$H$6,0)</f>
        <v>17.901</v>
      </c>
      <c r="AJ68" s="217">
        <f>IFERROR(AJ12/Dashboard_2!$H$6,0)</f>
        <v>17.901</v>
      </c>
      <c r="AK68" s="217">
        <f>IFERROR(AK12/Dashboard_2!$H$6,0)</f>
        <v>17.901</v>
      </c>
      <c r="AL68" s="217">
        <f>IFERROR(AL12/Dashboard_2!$H$6,0)</f>
        <v>17.901</v>
      </c>
      <c r="AM68" s="217">
        <f>IFERROR(AM12/Dashboard_2!$H$6,0)</f>
        <v>17.901</v>
      </c>
      <c r="AN68" s="217">
        <f>IFERROR(AN12/Dashboard_2!$H$6,0)</f>
        <v>17.901</v>
      </c>
      <c r="AO68" s="217">
        <f>IFERROR(AO12/Dashboard_2!$H$6,0)</f>
        <v>17.901</v>
      </c>
      <c r="AP68" s="217">
        <f>IFERROR(AP12/Dashboard_2!$H$6,0)</f>
        <v>17.901</v>
      </c>
      <c r="AQ68" s="217">
        <f>IFERROR(AQ12/Dashboard_2!$H$6,0)</f>
        <v>17.901</v>
      </c>
      <c r="AR68" s="217">
        <f>IFERROR(AR12/Dashboard_2!$H$6,0)</f>
        <v>17.901</v>
      </c>
      <c r="AS68" s="217">
        <f>IFERROR(AS12/Dashboard_2!$H$6,0)</f>
        <v>17.901</v>
      </c>
      <c r="AT68" s="217">
        <f>IFERROR(AT12/Dashboard_2!$H$6,0)</f>
        <v>17.901</v>
      </c>
      <c r="AU68" s="217">
        <f>IFERROR(AU12/Dashboard_2!$H$6,0)</f>
        <v>17.901</v>
      </c>
      <c r="AV68" s="217">
        <f>IFERROR(AV12/Dashboard_2!$H$6,0)</f>
        <v>17.901</v>
      </c>
      <c r="AW68" s="217">
        <f>IFERROR(AW12/Dashboard_2!$H$6,0)</f>
        <v>17.901</v>
      </c>
      <c r="AX68" s="217">
        <f>IFERROR(AX12/Dashboard_2!$H$6,0)</f>
        <v>17.901</v>
      </c>
      <c r="AY68" s="217">
        <f>IFERROR(AY12/Dashboard_2!$H$6,0)</f>
        <v>17.901</v>
      </c>
      <c r="AZ68" s="180"/>
      <c r="BA68" s="180"/>
    </row>
    <row r="69" spans="1:53" x14ac:dyDescent="0.45">
      <c r="A69" s="41" t="str">
        <f t="shared" si="2"/>
        <v>Tree protection fencing ($)</v>
      </c>
      <c r="B69" s="217">
        <f>IFERROR(B13/Dashboard_2!$H$6,0)</f>
        <v>2.5</v>
      </c>
      <c r="C69" s="217">
        <f>IFERROR(C13/Dashboard_2!$H$6,0)</f>
        <v>2.5</v>
      </c>
      <c r="D69" s="217">
        <f>IFERROR(D13/Dashboard_2!$H$6,0)</f>
        <v>2.5</v>
      </c>
      <c r="E69" s="217">
        <f>IFERROR(E13/Dashboard_2!$H$6,0)</f>
        <v>2.5</v>
      </c>
      <c r="F69" s="217">
        <f>IFERROR(F13/Dashboard_2!$H$6,0)</f>
        <v>2.5</v>
      </c>
      <c r="G69" s="217">
        <f>IFERROR(G13/Dashboard_2!$H$6,0)</f>
        <v>2.5</v>
      </c>
      <c r="H69" s="217">
        <f>IFERROR(H13/Dashboard_2!$H$6,0)</f>
        <v>2.5</v>
      </c>
      <c r="I69" s="217">
        <f>IFERROR(I13/Dashboard_2!$H$6,0)</f>
        <v>2.5</v>
      </c>
      <c r="J69" s="217">
        <f>IFERROR(J13/Dashboard_2!$H$6,0)</f>
        <v>2.5</v>
      </c>
      <c r="K69" s="217">
        <f>IFERROR(K13/Dashboard_2!$H$6,0)</f>
        <v>2.5</v>
      </c>
      <c r="L69" s="217">
        <f>IFERROR(L13/Dashboard_2!$H$6,0)</f>
        <v>2.5</v>
      </c>
      <c r="M69" s="217">
        <f>IFERROR(M13/Dashboard_2!$H$6,0)</f>
        <v>2.5</v>
      </c>
      <c r="N69" s="217">
        <f>IFERROR(N13/Dashboard_2!$H$6,0)</f>
        <v>2.5</v>
      </c>
      <c r="O69" s="217">
        <f>IFERROR(O13/Dashboard_2!$H$6,0)</f>
        <v>2.5</v>
      </c>
      <c r="P69" s="217">
        <f>IFERROR(P13/Dashboard_2!$H$6,0)</f>
        <v>2.5</v>
      </c>
      <c r="Q69" s="217">
        <f>IFERROR(Q13/Dashboard_2!$H$6,0)</f>
        <v>2.5</v>
      </c>
      <c r="R69" s="217">
        <f>IFERROR(R13/Dashboard_2!$H$6,0)</f>
        <v>2.5</v>
      </c>
      <c r="S69" s="217">
        <f>IFERROR(S13/Dashboard_2!$H$6,0)</f>
        <v>2.5</v>
      </c>
      <c r="T69" s="217">
        <f>IFERROR(T13/Dashboard_2!$H$6,0)</f>
        <v>2.5</v>
      </c>
      <c r="U69" s="217">
        <f>IFERROR(U13/Dashboard_2!$H$6,0)</f>
        <v>2.5</v>
      </c>
      <c r="V69" s="217">
        <f>IFERROR(V13/Dashboard_2!$H$6,0)</f>
        <v>2.5</v>
      </c>
      <c r="W69" s="217">
        <f>IFERROR(W13/Dashboard_2!$H$6,0)</f>
        <v>2.5</v>
      </c>
      <c r="X69" s="217">
        <f>IFERROR(X13/Dashboard_2!$H$6,0)</f>
        <v>2.5</v>
      </c>
      <c r="Y69" s="217">
        <f>IFERROR(Y13/Dashboard_2!$H$6,0)</f>
        <v>2.5</v>
      </c>
      <c r="Z69" s="217">
        <f>IFERROR(Z13/Dashboard_2!$H$6,0)</f>
        <v>2.5</v>
      </c>
      <c r="AA69" s="217">
        <f>IFERROR(AA13/Dashboard_2!$H$6,0)</f>
        <v>2.5</v>
      </c>
      <c r="AB69" s="217">
        <f>IFERROR(AB13/Dashboard_2!$H$6,0)</f>
        <v>2.5</v>
      </c>
      <c r="AC69" s="217">
        <f>IFERROR(AC13/Dashboard_2!$H$6,0)</f>
        <v>2.5</v>
      </c>
      <c r="AD69" s="217">
        <f>IFERROR(AD13/Dashboard_2!$H$6,0)</f>
        <v>2.5</v>
      </c>
      <c r="AE69" s="217">
        <f>IFERROR(AE13/Dashboard_2!$H$6,0)</f>
        <v>2.5</v>
      </c>
      <c r="AF69" s="217">
        <f>IFERROR(AF13/Dashboard_2!$H$6,0)</f>
        <v>2.5</v>
      </c>
      <c r="AG69" s="217">
        <f>IFERROR(AG13/Dashboard_2!$H$6,0)</f>
        <v>2.5</v>
      </c>
      <c r="AH69" s="217">
        <f>IFERROR(AH13/Dashboard_2!$H$6,0)</f>
        <v>2.5</v>
      </c>
      <c r="AI69" s="217">
        <f>IFERROR(AI13/Dashboard_2!$H$6,0)</f>
        <v>2.5</v>
      </c>
      <c r="AJ69" s="217">
        <f>IFERROR(AJ13/Dashboard_2!$H$6,0)</f>
        <v>2.5</v>
      </c>
      <c r="AK69" s="217">
        <f>IFERROR(AK13/Dashboard_2!$H$6,0)</f>
        <v>2.5</v>
      </c>
      <c r="AL69" s="217">
        <f>IFERROR(AL13/Dashboard_2!$H$6,0)</f>
        <v>2.5</v>
      </c>
      <c r="AM69" s="217">
        <f>IFERROR(AM13/Dashboard_2!$H$6,0)</f>
        <v>2.5</v>
      </c>
      <c r="AN69" s="217">
        <f>IFERROR(AN13/Dashboard_2!$H$6,0)</f>
        <v>2.5</v>
      </c>
      <c r="AO69" s="217">
        <f>IFERROR(AO13/Dashboard_2!$H$6,0)</f>
        <v>2.5</v>
      </c>
      <c r="AP69" s="217">
        <f>IFERROR(AP13/Dashboard_2!$H$6,0)</f>
        <v>2.5</v>
      </c>
      <c r="AQ69" s="217">
        <f>IFERROR(AQ13/Dashboard_2!$H$6,0)</f>
        <v>2.5</v>
      </c>
      <c r="AR69" s="217">
        <f>IFERROR(AR13/Dashboard_2!$H$6,0)</f>
        <v>2.5</v>
      </c>
      <c r="AS69" s="217">
        <f>IFERROR(AS13/Dashboard_2!$H$6,0)</f>
        <v>2.5</v>
      </c>
      <c r="AT69" s="217">
        <f>IFERROR(AT13/Dashboard_2!$H$6,0)</f>
        <v>2.5</v>
      </c>
      <c r="AU69" s="217">
        <f>IFERROR(AU13/Dashboard_2!$H$6,0)</f>
        <v>2.5</v>
      </c>
      <c r="AV69" s="217">
        <f>IFERROR(AV13/Dashboard_2!$H$6,0)</f>
        <v>2.5</v>
      </c>
      <c r="AW69" s="217">
        <f>IFERROR(AW13/Dashboard_2!$H$6,0)</f>
        <v>2.5</v>
      </c>
      <c r="AX69" s="217">
        <f>IFERROR(AX13/Dashboard_2!$H$6,0)</f>
        <v>2.5</v>
      </c>
      <c r="AY69" s="217">
        <f>IFERROR(AY13/Dashboard_2!$H$6,0)</f>
        <v>2.5</v>
      </c>
      <c r="AZ69" s="180"/>
      <c r="BA69" s="180"/>
    </row>
    <row r="70" spans="1:53" x14ac:dyDescent="0.45">
      <c r="A70" s="41" t="str">
        <f t="shared" si="2"/>
        <v>Traffic control cost ($)</v>
      </c>
      <c r="B70" s="217">
        <f>IFERROR(B14/Dashboard_2!$H$6,0)</f>
        <v>0</v>
      </c>
      <c r="C70" s="217">
        <f>IFERROR(C14/Dashboard_2!$H$6,0)</f>
        <v>0</v>
      </c>
      <c r="D70" s="217">
        <f>IFERROR(D14/Dashboard_2!$H$6,0)</f>
        <v>0</v>
      </c>
      <c r="E70" s="217">
        <f>IFERROR(E14/Dashboard_2!$H$6,0)</f>
        <v>0</v>
      </c>
      <c r="F70" s="217">
        <f>IFERROR(F14/Dashboard_2!$H$6,0)</f>
        <v>0</v>
      </c>
      <c r="G70" s="217">
        <f>IFERROR(G14/Dashboard_2!$H$6,0)</f>
        <v>0</v>
      </c>
      <c r="H70" s="217">
        <f>IFERROR(H14/Dashboard_2!$H$6,0)</f>
        <v>0</v>
      </c>
      <c r="I70" s="217">
        <f>IFERROR(I14/Dashboard_2!$H$6,0)</f>
        <v>0</v>
      </c>
      <c r="J70" s="217">
        <f>IFERROR(J14/Dashboard_2!$H$6,0)</f>
        <v>0</v>
      </c>
      <c r="K70" s="217">
        <f>IFERROR(K14/Dashboard_2!$H$6,0)</f>
        <v>0</v>
      </c>
      <c r="L70" s="217">
        <f>IFERROR(L14/Dashboard_2!$H$6,0)</f>
        <v>0</v>
      </c>
      <c r="M70" s="217">
        <f>IFERROR(M14/Dashboard_2!$H$6,0)</f>
        <v>0</v>
      </c>
      <c r="N70" s="217">
        <f>IFERROR(N14/Dashboard_2!$H$6,0)</f>
        <v>0</v>
      </c>
      <c r="O70" s="217">
        <f>IFERROR(O14/Dashboard_2!$H$6,0)</f>
        <v>0</v>
      </c>
      <c r="P70" s="217">
        <f>IFERROR(P14/Dashboard_2!$H$6,0)</f>
        <v>0</v>
      </c>
      <c r="Q70" s="217">
        <f>IFERROR(Q14/Dashboard_2!$H$6,0)</f>
        <v>0</v>
      </c>
      <c r="R70" s="217">
        <f>IFERROR(R14/Dashboard_2!$H$6,0)</f>
        <v>0</v>
      </c>
      <c r="S70" s="217">
        <f>IFERROR(S14/Dashboard_2!$H$6,0)</f>
        <v>0</v>
      </c>
      <c r="T70" s="217">
        <f>IFERROR(T14/Dashboard_2!$H$6,0)</f>
        <v>0</v>
      </c>
      <c r="U70" s="217">
        <f>IFERROR(U14/Dashboard_2!$H$6,0)</f>
        <v>0</v>
      </c>
      <c r="V70" s="217">
        <f>IFERROR(V14/Dashboard_2!$H$6,0)</f>
        <v>0</v>
      </c>
      <c r="W70" s="217">
        <f>IFERROR(W14/Dashboard_2!$H$6,0)</f>
        <v>0</v>
      </c>
      <c r="X70" s="217">
        <f>IFERROR(X14/Dashboard_2!$H$6,0)</f>
        <v>0</v>
      </c>
      <c r="Y70" s="217">
        <f>IFERROR(Y14/Dashboard_2!$H$6,0)</f>
        <v>0</v>
      </c>
      <c r="Z70" s="217">
        <f>IFERROR(Z14/Dashboard_2!$H$6,0)</f>
        <v>0</v>
      </c>
      <c r="AA70" s="217">
        <f>IFERROR(AA14/Dashboard_2!$H$6,0)</f>
        <v>0</v>
      </c>
      <c r="AB70" s="217">
        <f>IFERROR(AB14/Dashboard_2!$H$6,0)</f>
        <v>0</v>
      </c>
      <c r="AC70" s="217">
        <f>IFERROR(AC14/Dashboard_2!$H$6,0)</f>
        <v>0</v>
      </c>
      <c r="AD70" s="217">
        <f>IFERROR(AD14/Dashboard_2!$H$6,0)</f>
        <v>0</v>
      </c>
      <c r="AE70" s="217">
        <f>IFERROR(AE14/Dashboard_2!$H$6,0)</f>
        <v>0</v>
      </c>
      <c r="AF70" s="217">
        <f>IFERROR(AF14/Dashboard_2!$H$6,0)</f>
        <v>0</v>
      </c>
      <c r="AG70" s="217">
        <f>IFERROR(AG14/Dashboard_2!$H$6,0)</f>
        <v>0</v>
      </c>
      <c r="AH70" s="217">
        <f>IFERROR(AH14/Dashboard_2!$H$6,0)</f>
        <v>0</v>
      </c>
      <c r="AI70" s="217">
        <f>IFERROR(AI14/Dashboard_2!$H$6,0)</f>
        <v>0</v>
      </c>
      <c r="AJ70" s="217">
        <f>IFERROR(AJ14/Dashboard_2!$H$6,0)</f>
        <v>0</v>
      </c>
      <c r="AK70" s="217">
        <f>IFERROR(AK14/Dashboard_2!$H$6,0)</f>
        <v>0</v>
      </c>
      <c r="AL70" s="217">
        <f>IFERROR(AL14/Dashboard_2!$H$6,0)</f>
        <v>0</v>
      </c>
      <c r="AM70" s="217">
        <f>IFERROR(AM14/Dashboard_2!$H$6,0)</f>
        <v>0</v>
      </c>
      <c r="AN70" s="217">
        <f>IFERROR(AN14/Dashboard_2!$H$6,0)</f>
        <v>0</v>
      </c>
      <c r="AO70" s="217">
        <f>IFERROR(AO14/Dashboard_2!$H$6,0)</f>
        <v>0</v>
      </c>
      <c r="AP70" s="217">
        <f>IFERROR(AP14/Dashboard_2!$H$6,0)</f>
        <v>0</v>
      </c>
      <c r="AQ70" s="217">
        <f>IFERROR(AQ14/Dashboard_2!$H$6,0)</f>
        <v>0</v>
      </c>
      <c r="AR70" s="217">
        <f>IFERROR(AR14/Dashboard_2!$H$6,0)</f>
        <v>0</v>
      </c>
      <c r="AS70" s="217">
        <f>IFERROR(AS14/Dashboard_2!$H$6,0)</f>
        <v>0</v>
      </c>
      <c r="AT70" s="217">
        <f>IFERROR(AT14/Dashboard_2!$H$6,0)</f>
        <v>0</v>
      </c>
      <c r="AU70" s="217">
        <f>IFERROR(AU14/Dashboard_2!$H$6,0)</f>
        <v>0</v>
      </c>
      <c r="AV70" s="217">
        <f>IFERROR(AV14/Dashboard_2!$H$6,0)</f>
        <v>0</v>
      </c>
      <c r="AW70" s="217">
        <f>IFERROR(AW14/Dashboard_2!$H$6,0)</f>
        <v>0</v>
      </c>
      <c r="AX70" s="217">
        <f>IFERROR(AX14/Dashboard_2!$H$6,0)</f>
        <v>0</v>
      </c>
      <c r="AY70" s="217">
        <f>IFERROR(AY14/Dashboard_2!$H$6,0)</f>
        <v>0</v>
      </c>
      <c r="AZ70" s="180"/>
      <c r="BA70" s="180"/>
    </row>
    <row r="71" spans="1:53" x14ac:dyDescent="0.45">
      <c r="A71" s="41" t="str">
        <f t="shared" si="2"/>
        <v>Guard rails</v>
      </c>
      <c r="B71" s="217">
        <f>IFERROR(B15/Dashboard_2!$H$6,0)</f>
        <v>0</v>
      </c>
      <c r="C71" s="217">
        <f>IFERROR(C15/Dashboard_2!$H$6,0)</f>
        <v>0</v>
      </c>
      <c r="D71" s="217">
        <f>IFERROR(D15/Dashboard_2!$H$6,0)</f>
        <v>0</v>
      </c>
      <c r="E71" s="217">
        <f>IFERROR(E15/Dashboard_2!$H$6,0)</f>
        <v>0</v>
      </c>
      <c r="F71" s="217">
        <f>IFERROR(F15/Dashboard_2!$H$6,0)</f>
        <v>0</v>
      </c>
      <c r="G71" s="217">
        <f>IFERROR(G15/Dashboard_2!$H$6,0)</f>
        <v>0</v>
      </c>
      <c r="H71" s="217">
        <f>IFERROR(H15/Dashboard_2!$H$6,0)</f>
        <v>0</v>
      </c>
      <c r="I71" s="217">
        <f>IFERROR(I15/Dashboard_2!$H$6,0)</f>
        <v>0</v>
      </c>
      <c r="J71" s="217">
        <f>IFERROR(J15/Dashboard_2!$H$6,0)</f>
        <v>0</v>
      </c>
      <c r="K71" s="217">
        <f>IFERROR(K15/Dashboard_2!$H$6,0)</f>
        <v>0</v>
      </c>
      <c r="L71" s="217">
        <f>IFERROR(L15/Dashboard_2!$H$6,0)</f>
        <v>0</v>
      </c>
      <c r="M71" s="217">
        <f>IFERROR(M15/Dashboard_2!$H$6,0)</f>
        <v>0</v>
      </c>
      <c r="N71" s="217">
        <f>IFERROR(N15/Dashboard_2!$H$6,0)</f>
        <v>0</v>
      </c>
      <c r="O71" s="217">
        <f>IFERROR(O15/Dashboard_2!$H$6,0)</f>
        <v>0</v>
      </c>
      <c r="P71" s="217">
        <f>IFERROR(P15/Dashboard_2!$H$6,0)</f>
        <v>0</v>
      </c>
      <c r="Q71" s="217">
        <f>IFERROR(Q15/Dashboard_2!$H$6,0)</f>
        <v>0</v>
      </c>
      <c r="R71" s="217">
        <f>IFERROR(R15/Dashboard_2!$H$6,0)</f>
        <v>0</v>
      </c>
      <c r="S71" s="217">
        <f>IFERROR(S15/Dashboard_2!$H$6,0)</f>
        <v>0</v>
      </c>
      <c r="T71" s="217">
        <f>IFERROR(T15/Dashboard_2!$H$6,0)</f>
        <v>0</v>
      </c>
      <c r="U71" s="217">
        <f>IFERROR(U15/Dashboard_2!$H$6,0)</f>
        <v>0</v>
      </c>
      <c r="V71" s="217">
        <f>IFERROR(V15/Dashboard_2!$H$6,0)</f>
        <v>0</v>
      </c>
      <c r="W71" s="217">
        <f>IFERROR(W15/Dashboard_2!$H$6,0)</f>
        <v>0</v>
      </c>
      <c r="X71" s="217">
        <f>IFERROR(X15/Dashboard_2!$H$6,0)</f>
        <v>0</v>
      </c>
      <c r="Y71" s="217">
        <f>IFERROR(Y15/Dashboard_2!$H$6,0)</f>
        <v>0</v>
      </c>
      <c r="Z71" s="217">
        <f>IFERROR(Z15/Dashboard_2!$H$6,0)</f>
        <v>0</v>
      </c>
      <c r="AA71" s="217">
        <f>IFERROR(AA15/Dashboard_2!$H$6,0)</f>
        <v>0</v>
      </c>
      <c r="AB71" s="217">
        <f>IFERROR(AB15/Dashboard_2!$H$6,0)</f>
        <v>0</v>
      </c>
      <c r="AC71" s="217">
        <f>IFERROR(AC15/Dashboard_2!$H$6,0)</f>
        <v>0</v>
      </c>
      <c r="AD71" s="217">
        <f>IFERROR(AD15/Dashboard_2!$H$6,0)</f>
        <v>0</v>
      </c>
      <c r="AE71" s="217">
        <f>IFERROR(AE15/Dashboard_2!$H$6,0)</f>
        <v>0</v>
      </c>
      <c r="AF71" s="217">
        <f>IFERROR(AF15/Dashboard_2!$H$6,0)</f>
        <v>0</v>
      </c>
      <c r="AG71" s="217">
        <f>IFERROR(AG15/Dashboard_2!$H$6,0)</f>
        <v>0</v>
      </c>
      <c r="AH71" s="217">
        <f>IFERROR(AH15/Dashboard_2!$H$6,0)</f>
        <v>0</v>
      </c>
      <c r="AI71" s="217">
        <f>IFERROR(AI15/Dashboard_2!$H$6,0)</f>
        <v>0</v>
      </c>
      <c r="AJ71" s="217">
        <f>IFERROR(AJ15/Dashboard_2!$H$6,0)</f>
        <v>0</v>
      </c>
      <c r="AK71" s="217">
        <f>IFERROR(AK15/Dashboard_2!$H$6,0)</f>
        <v>0</v>
      </c>
      <c r="AL71" s="217">
        <f>IFERROR(AL15/Dashboard_2!$H$6,0)</f>
        <v>0</v>
      </c>
      <c r="AM71" s="217">
        <f>IFERROR(AM15/Dashboard_2!$H$6,0)</f>
        <v>0</v>
      </c>
      <c r="AN71" s="217">
        <f>IFERROR(AN15/Dashboard_2!$H$6,0)</f>
        <v>0</v>
      </c>
      <c r="AO71" s="217">
        <f>IFERROR(AO15/Dashboard_2!$H$6,0)</f>
        <v>0</v>
      </c>
      <c r="AP71" s="217">
        <f>IFERROR(AP15/Dashboard_2!$H$6,0)</f>
        <v>0</v>
      </c>
      <c r="AQ71" s="217">
        <f>IFERROR(AQ15/Dashboard_2!$H$6,0)</f>
        <v>0</v>
      </c>
      <c r="AR71" s="217">
        <f>IFERROR(AR15/Dashboard_2!$H$6,0)</f>
        <v>0</v>
      </c>
      <c r="AS71" s="217">
        <f>IFERROR(AS15/Dashboard_2!$H$6,0)</f>
        <v>0</v>
      </c>
      <c r="AT71" s="217">
        <f>IFERROR(AT15/Dashboard_2!$H$6,0)</f>
        <v>0</v>
      </c>
      <c r="AU71" s="217">
        <f>IFERROR(AU15/Dashboard_2!$H$6,0)</f>
        <v>0</v>
      </c>
      <c r="AV71" s="217">
        <f>IFERROR(AV15/Dashboard_2!$H$6,0)</f>
        <v>0</v>
      </c>
      <c r="AW71" s="217">
        <f>IFERROR(AW15/Dashboard_2!$H$6,0)</f>
        <v>0</v>
      </c>
      <c r="AX71" s="217">
        <f>IFERROR(AX15/Dashboard_2!$H$6,0)</f>
        <v>0</v>
      </c>
      <c r="AY71" s="217">
        <f>IFERROR(AY15/Dashboard_2!$H$6,0)</f>
        <v>0</v>
      </c>
      <c r="AZ71" s="180"/>
      <c r="BA71" s="180"/>
    </row>
    <row r="72" spans="1:53" x14ac:dyDescent="0.45">
      <c r="A72" s="41" t="str">
        <f t="shared" si="2"/>
        <v>StrataVault or Strata cells ($)</v>
      </c>
      <c r="B72" s="217">
        <f>IFERROR(B16/Dashboard_2!$H$6,0)</f>
        <v>0</v>
      </c>
      <c r="C72" s="217">
        <f>IFERROR(C16/Dashboard_2!$H$6,0)</f>
        <v>0</v>
      </c>
      <c r="D72" s="217">
        <f>IFERROR(D16/Dashboard_2!$H$6,0)</f>
        <v>0</v>
      </c>
      <c r="E72" s="217">
        <f>IFERROR(E16/Dashboard_2!$H$6,0)</f>
        <v>0</v>
      </c>
      <c r="F72" s="217">
        <f>IFERROR(F16/Dashboard_2!$H$6,0)</f>
        <v>0</v>
      </c>
      <c r="G72" s="217">
        <f>IFERROR(G16/Dashboard_2!$H$6,0)</f>
        <v>0</v>
      </c>
      <c r="H72" s="217">
        <f>IFERROR(H16/Dashboard_2!$H$6,0)</f>
        <v>0</v>
      </c>
      <c r="I72" s="217">
        <f>IFERROR(I16/Dashboard_2!$H$6,0)</f>
        <v>0</v>
      </c>
      <c r="J72" s="217">
        <f>IFERROR(J16/Dashboard_2!$H$6,0)</f>
        <v>0</v>
      </c>
      <c r="K72" s="217">
        <f>IFERROR(K16/Dashboard_2!$H$6,0)</f>
        <v>0</v>
      </c>
      <c r="L72" s="217">
        <f>IFERROR(L16/Dashboard_2!$H$6,0)</f>
        <v>0</v>
      </c>
      <c r="M72" s="217">
        <f>IFERROR(M16/Dashboard_2!$H$6,0)</f>
        <v>0</v>
      </c>
      <c r="N72" s="217">
        <f>IFERROR(N16/Dashboard_2!$H$6,0)</f>
        <v>0</v>
      </c>
      <c r="O72" s="217">
        <f>IFERROR(O16/Dashboard_2!$H$6,0)</f>
        <v>0</v>
      </c>
      <c r="P72" s="217">
        <f>IFERROR(P16/Dashboard_2!$H$6,0)</f>
        <v>0</v>
      </c>
      <c r="Q72" s="217">
        <f>IFERROR(Q16/Dashboard_2!$H$6,0)</f>
        <v>0</v>
      </c>
      <c r="R72" s="217">
        <f>IFERROR(R16/Dashboard_2!$H$6,0)</f>
        <v>0</v>
      </c>
      <c r="S72" s="217">
        <f>IFERROR(S16/Dashboard_2!$H$6,0)</f>
        <v>0</v>
      </c>
      <c r="T72" s="217">
        <f>IFERROR(T16/Dashboard_2!$H$6,0)</f>
        <v>0</v>
      </c>
      <c r="U72" s="217">
        <f>IFERROR(U16/Dashboard_2!$H$6,0)</f>
        <v>0</v>
      </c>
      <c r="V72" s="217">
        <f>IFERROR(V16/Dashboard_2!$H$6,0)</f>
        <v>0</v>
      </c>
      <c r="W72" s="217">
        <f>IFERROR(W16/Dashboard_2!$H$6,0)</f>
        <v>0</v>
      </c>
      <c r="X72" s="217">
        <f>IFERROR(X16/Dashboard_2!$H$6,0)</f>
        <v>0</v>
      </c>
      <c r="Y72" s="217">
        <f>IFERROR(Y16/Dashboard_2!$H$6,0)</f>
        <v>0</v>
      </c>
      <c r="Z72" s="217">
        <f>IFERROR(Z16/Dashboard_2!$H$6,0)</f>
        <v>0</v>
      </c>
      <c r="AA72" s="217">
        <f>IFERROR(AA16/Dashboard_2!$H$6,0)</f>
        <v>0</v>
      </c>
      <c r="AB72" s="217">
        <f>IFERROR(AB16/Dashboard_2!$H$6,0)</f>
        <v>0</v>
      </c>
      <c r="AC72" s="217">
        <f>IFERROR(AC16/Dashboard_2!$H$6,0)</f>
        <v>0</v>
      </c>
      <c r="AD72" s="217">
        <f>IFERROR(AD16/Dashboard_2!$H$6,0)</f>
        <v>0</v>
      </c>
      <c r="AE72" s="217">
        <f>IFERROR(AE16/Dashboard_2!$H$6,0)</f>
        <v>0</v>
      </c>
      <c r="AF72" s="217">
        <f>IFERROR(AF16/Dashboard_2!$H$6,0)</f>
        <v>0</v>
      </c>
      <c r="AG72" s="217">
        <f>IFERROR(AG16/Dashboard_2!$H$6,0)</f>
        <v>0</v>
      </c>
      <c r="AH72" s="217">
        <f>IFERROR(AH16/Dashboard_2!$H$6,0)</f>
        <v>0</v>
      </c>
      <c r="AI72" s="217">
        <f>IFERROR(AI16/Dashboard_2!$H$6,0)</f>
        <v>0</v>
      </c>
      <c r="AJ72" s="217">
        <f>IFERROR(AJ16/Dashboard_2!$H$6,0)</f>
        <v>0</v>
      </c>
      <c r="AK72" s="217">
        <f>IFERROR(AK16/Dashboard_2!$H$6,0)</f>
        <v>0</v>
      </c>
      <c r="AL72" s="217">
        <f>IFERROR(AL16/Dashboard_2!$H$6,0)</f>
        <v>0</v>
      </c>
      <c r="AM72" s="217">
        <f>IFERROR(AM16/Dashboard_2!$H$6,0)</f>
        <v>0</v>
      </c>
      <c r="AN72" s="217">
        <f>IFERROR(AN16/Dashboard_2!$H$6,0)</f>
        <v>0</v>
      </c>
      <c r="AO72" s="217">
        <f>IFERROR(AO16/Dashboard_2!$H$6,0)</f>
        <v>0</v>
      </c>
      <c r="AP72" s="217">
        <f>IFERROR(AP16/Dashboard_2!$H$6,0)</f>
        <v>0</v>
      </c>
      <c r="AQ72" s="217">
        <f>IFERROR(AQ16/Dashboard_2!$H$6,0)</f>
        <v>0</v>
      </c>
      <c r="AR72" s="217">
        <f>IFERROR(AR16/Dashboard_2!$H$6,0)</f>
        <v>0</v>
      </c>
      <c r="AS72" s="217">
        <f>IFERROR(AS16/Dashboard_2!$H$6,0)</f>
        <v>0</v>
      </c>
      <c r="AT72" s="217">
        <f>IFERROR(AT16/Dashboard_2!$H$6,0)</f>
        <v>0</v>
      </c>
      <c r="AU72" s="217">
        <f>IFERROR(AU16/Dashboard_2!$H$6,0)</f>
        <v>0</v>
      </c>
      <c r="AV72" s="217">
        <f>IFERROR(AV16/Dashboard_2!$H$6,0)</f>
        <v>0</v>
      </c>
      <c r="AW72" s="217">
        <f>IFERROR(AW16/Dashboard_2!$H$6,0)</f>
        <v>0</v>
      </c>
      <c r="AX72" s="217">
        <f>IFERROR(AX16/Dashboard_2!$H$6,0)</f>
        <v>0</v>
      </c>
      <c r="AY72" s="217">
        <f>IFERROR(AY16/Dashboard_2!$H$6,0)</f>
        <v>0</v>
      </c>
      <c r="AZ72" s="180"/>
      <c r="BA72" s="180"/>
    </row>
    <row r="73" spans="1:53" x14ac:dyDescent="0.45">
      <c r="A73" s="41" t="str">
        <f t="shared" si="2"/>
        <v>Watering costs</v>
      </c>
      <c r="B73" s="217">
        <f>IFERROR(B17/Dashboard_2!$H$6,0)</f>
        <v>48</v>
      </c>
      <c r="C73" s="217">
        <f>IFERROR(C17/Dashboard_2!$H$6,0)</f>
        <v>64.400000000000006</v>
      </c>
      <c r="D73" s="217">
        <f>IFERROR(D17/Dashboard_2!$H$6,0)</f>
        <v>81.209999999999994</v>
      </c>
      <c r="E73" s="217">
        <f>IFERROR(E17/Dashboard_2!$H$6,0)</f>
        <v>98.440249999999992</v>
      </c>
      <c r="F73" s="217">
        <f>IFERROR(F17/Dashboard_2!$H$6,0)</f>
        <v>116.10125624999999</v>
      </c>
      <c r="G73" s="217">
        <f>IFERROR(G17/Dashboard_2!$H$6,0)</f>
        <v>134.20378765625</v>
      </c>
      <c r="H73" s="217">
        <f>IFERROR(H17/Dashboard_2!$H$6,0)</f>
        <v>152.75888234765623</v>
      </c>
      <c r="I73" s="217">
        <f>IFERROR(I17/Dashboard_2!$H$6,0)</f>
        <v>171.77785440634764</v>
      </c>
      <c r="J73" s="217">
        <f>IFERROR(J17/Dashboard_2!$H$6,0)</f>
        <v>191.27230076650633</v>
      </c>
      <c r="K73" s="217">
        <f>IFERROR(K17/Dashboard_2!$H$6,0)</f>
        <v>211.25410828566899</v>
      </c>
      <c r="L73" s="217">
        <f>IFERROR(L17/Dashboard_2!$H$6,0)</f>
        <v>231.73546099281069</v>
      </c>
      <c r="M73" s="217">
        <f>IFERROR(M17/Dashboard_2!$H$6,0)</f>
        <v>252.72884751763095</v>
      </c>
      <c r="N73" s="217">
        <f>IFERROR(N17/Dashboard_2!$H$6,0)</f>
        <v>274.24706870557173</v>
      </c>
      <c r="O73" s="217">
        <f>IFERROR(O17/Dashboard_2!$H$6,0)</f>
        <v>296.30324542321102</v>
      </c>
      <c r="P73" s="217">
        <f>IFERROR(P17/Dashboard_2!$H$6,0)</f>
        <v>318.91082655879126</v>
      </c>
      <c r="Q73" s="217">
        <f>IFERROR(Q17/Dashboard_2!$H$6,0)</f>
        <v>342.083597222761</v>
      </c>
      <c r="R73" s="217">
        <f>IFERROR(R17/Dashboard_2!$H$6,0)</f>
        <v>365.83568715333001</v>
      </c>
      <c r="S73" s="217">
        <f>IFERROR(S17/Dashboard_2!$H$6,0)</f>
        <v>390.18157933216321</v>
      </c>
      <c r="T73" s="217">
        <f>IFERROR(T17/Dashboard_2!$H$6,0)</f>
        <v>415.13611881546728</v>
      </c>
      <c r="U73" s="217">
        <f>IFERROR(U17/Dashboard_2!$H$6,0)</f>
        <v>440.71452178585395</v>
      </c>
      <c r="V73" s="217">
        <f>IFERROR(V17/Dashboard_2!$H$6,0)</f>
        <v>466.93238483050021</v>
      </c>
      <c r="W73" s="217">
        <f>IFERROR(W17/Dashboard_2!$H$6,0)</f>
        <v>493.8056944512627</v>
      </c>
      <c r="X73" s="217">
        <f>IFERROR(X17/Dashboard_2!$H$6,0)</f>
        <v>521.35083681254423</v>
      </c>
      <c r="Y73" s="217">
        <f>IFERROR(Y17/Dashboard_2!$H$6,0)</f>
        <v>549.58460773285788</v>
      </c>
      <c r="Z73" s="217">
        <f>IFERROR(Z17/Dashboard_2!$H$6,0)</f>
        <v>578.52422292617928</v>
      </c>
      <c r="AA73" s="217">
        <f>IFERROR(AA17/Dashboard_2!$H$6,0)</f>
        <v>608.18732849933372</v>
      </c>
      <c r="AB73" s="217">
        <f>IFERROR(AB17/Dashboard_2!$H$6,0)</f>
        <v>638.59201171181701</v>
      </c>
      <c r="AC73" s="217">
        <f>IFERROR(AC17/Dashboard_2!$H$6,0)</f>
        <v>669.75681200461247</v>
      </c>
      <c r="AD73" s="217">
        <f>IFERROR(AD17/Dashboard_2!$H$6,0)</f>
        <v>701.70073230472769</v>
      </c>
      <c r="AE73" s="217">
        <f>IFERROR(AE17/Dashboard_2!$H$6,0)</f>
        <v>734.44325061234588</v>
      </c>
      <c r="AF73" s="217">
        <f>IFERROR(AF17/Dashboard_2!$H$6,0)</f>
        <v>768.00433187765452</v>
      </c>
      <c r="AG73" s="217">
        <f>IFERROR(AG17/Dashboard_2!$H$6,0)</f>
        <v>802.40444017459583</v>
      </c>
      <c r="AH73" s="217">
        <f>IFERROR(AH17/Dashboard_2!$H$6,0)</f>
        <v>837.66455117896066</v>
      </c>
      <c r="AI73" s="217">
        <f>IFERROR(AI17/Dashboard_2!$H$6,0)</f>
        <v>873.80616495843469</v>
      </c>
      <c r="AJ73" s="217">
        <f>IFERROR(AJ17/Dashboard_2!$H$6,0)</f>
        <v>910.85131908239555</v>
      </c>
      <c r="AK73" s="217">
        <f>IFERROR(AK17/Dashboard_2!$H$6,0)</f>
        <v>948.82260205945533</v>
      </c>
      <c r="AL73" s="217">
        <f>IFERROR(AL17/Dashboard_2!$H$6,0)</f>
        <v>987.74316711094173</v>
      </c>
      <c r="AM73" s="217">
        <f>IFERROR(AM17/Dashboard_2!$H$6,0)</f>
        <v>1027.6367462887151</v>
      </c>
      <c r="AN73" s="217">
        <f>IFERROR(AN17/Dashboard_2!$H$6,0)</f>
        <v>1068.5276649459331</v>
      </c>
      <c r="AO73" s="217">
        <f>IFERROR(AO17/Dashboard_2!$H$6,0)</f>
        <v>1110.4408565695815</v>
      </c>
      <c r="AP73" s="217">
        <f>IFERROR(AP17/Dashboard_2!$H$6,0)</f>
        <v>1153.4018779838209</v>
      </c>
      <c r="AQ73" s="217">
        <f>IFERROR(AQ17/Dashboard_2!$H$6,0)</f>
        <v>1197.4369249334163</v>
      </c>
      <c r="AR73" s="217">
        <f>IFERROR(AR17/Dashboard_2!$H$6,0)</f>
        <v>1242.5728480567516</v>
      </c>
      <c r="AS73" s="217">
        <f>IFERROR(AS17/Dashboard_2!$H$6,0)</f>
        <v>1288.8371692581704</v>
      </c>
      <c r="AT73" s="217">
        <f>IFERROR(AT17/Dashboard_2!$H$6,0)</f>
        <v>1336.2580984896247</v>
      </c>
      <c r="AU73" s="217">
        <f>IFERROR(AU17/Dashboard_2!$H$6,0)</f>
        <v>1384.8645509518651</v>
      </c>
      <c r="AV73" s="217">
        <f>IFERROR(AV17/Dashboard_2!$H$6,0)</f>
        <v>1434.6861647256615</v>
      </c>
      <c r="AW73" s="217">
        <f>IFERROR(AW17/Dashboard_2!$H$6,0)</f>
        <v>1485.7533188438028</v>
      </c>
      <c r="AX73" s="217">
        <f>IFERROR(AX17/Dashboard_2!$H$6,0)</f>
        <v>1538.0971518148979</v>
      </c>
      <c r="AY73" s="217">
        <f>IFERROR(AY17/Dashboard_2!$H$6,0)</f>
        <v>1591.7495806102702</v>
      </c>
      <c r="AZ73" s="180"/>
      <c r="BA73" s="180"/>
    </row>
    <row r="74" spans="1:53" x14ac:dyDescent="0.45">
      <c r="A74" s="41" t="str">
        <f t="shared" si="2"/>
        <v>Maintenance</v>
      </c>
      <c r="B74" s="217">
        <f>IFERROR(B18/Dashboard_2!$H$6,0)</f>
        <v>132.99</v>
      </c>
      <c r="C74" s="217">
        <f>IFERROR(C18/Dashboard_2!$H$6,0)</f>
        <v>168.9675</v>
      </c>
      <c r="D74" s="217">
        <f>IFERROR(D18/Dashboard_2!$H$6,0)</f>
        <v>196.62520312500001</v>
      </c>
      <c r="E74" s="217">
        <f>IFERROR(E18/Dashboard_2!$H$6,0)</f>
        <v>224.97434882812502</v>
      </c>
      <c r="F74" s="217">
        <f>IFERROR(F18/Dashboard_2!$H$6,0)</f>
        <v>254.0322231738281</v>
      </c>
      <c r="G74" s="217">
        <f>IFERROR(G18/Dashboard_2!$H$6,0)</f>
        <v>283.81654437817377</v>
      </c>
      <c r="H74" s="217">
        <f>IFERROR(H18/Dashboard_2!$H$6,0)</f>
        <v>314.3454736126281</v>
      </c>
      <c r="I74" s="217">
        <f>IFERROR(I18/Dashboard_2!$H$6,0)</f>
        <v>345.63762607794376</v>
      </c>
      <c r="J74" s="217">
        <f>IFERROR(J18/Dashboard_2!$H$6,0)</f>
        <v>377.71208235489235</v>
      </c>
      <c r="K74" s="217">
        <f>IFERROR(K18/Dashboard_2!$H$6,0)</f>
        <v>410.58840003876458</v>
      </c>
      <c r="L74" s="217">
        <f>IFERROR(L18/Dashboard_2!$H$6,0)</f>
        <v>444.28662566473366</v>
      </c>
      <c r="M74" s="217">
        <f>IFERROR(M18/Dashboard_2!$H$6,0)</f>
        <v>478.82730693135198</v>
      </c>
      <c r="N74" s="217">
        <f>IFERROR(N18/Dashboard_2!$H$6,0)</f>
        <v>514.23150522963579</v>
      </c>
      <c r="O74" s="217">
        <f>IFERROR(O18/Dashboard_2!$H$6,0)</f>
        <v>550.52080848537673</v>
      </c>
      <c r="P74" s="217">
        <f>IFERROR(P18/Dashboard_2!$H$6,0)</f>
        <v>587.71734432251105</v>
      </c>
      <c r="Q74" s="217">
        <f>IFERROR(Q18/Dashboard_2!$H$6,0)</f>
        <v>625.84379355557382</v>
      </c>
      <c r="R74" s="217">
        <f>IFERROR(R18/Dashboard_2!$H$6,0)</f>
        <v>664.92340401946308</v>
      </c>
      <c r="S74" s="217">
        <f>IFERROR(S18/Dashboard_2!$H$6,0)</f>
        <v>704.9800047449495</v>
      </c>
      <c r="T74" s="217">
        <f>IFERROR(T18/Dashboard_2!$H$6,0)</f>
        <v>746.03802048857324</v>
      </c>
      <c r="U74" s="217">
        <f>IFERROR(U18/Dashboard_2!$H$6,0)</f>
        <v>788.12248662578759</v>
      </c>
      <c r="V74" s="217">
        <f>IFERROR(V18/Dashboard_2!$H$6,0)</f>
        <v>831.25906441643224</v>
      </c>
      <c r="W74" s="217">
        <f>IFERROR(W18/Dashboard_2!$H$6,0)</f>
        <v>875.47405665184294</v>
      </c>
      <c r="X74" s="217">
        <f>IFERROR(X18/Dashboard_2!$H$6,0)</f>
        <v>920.79442369313892</v>
      </c>
      <c r="Y74" s="217">
        <f>IFERROR(Y18/Dashboard_2!$H$6,0)</f>
        <v>967.24779991046739</v>
      </c>
      <c r="Z74" s="217">
        <f>IFERROR(Z18/Dashboard_2!$H$6,0)</f>
        <v>1014.8625105332291</v>
      </c>
      <c r="AA74" s="217">
        <f>IFERROR(AA18/Dashboard_2!$H$6,0)</f>
        <v>1063.6675889215599</v>
      </c>
      <c r="AB74" s="217">
        <f>IFERROR(AB18/Dashboard_2!$H$6,0)</f>
        <v>1113.6927942695986</v>
      </c>
      <c r="AC74" s="217">
        <f>IFERROR(AC18/Dashboard_2!$H$6,0)</f>
        <v>1164.9686297513385</v>
      </c>
      <c r="AD74" s="217">
        <f>IFERROR(AD18/Dashboard_2!$H$6,0)</f>
        <v>1217.5263611201219</v>
      </c>
      <c r="AE74" s="217">
        <f>IFERROR(AE18/Dashboard_2!$H$6,0)</f>
        <v>1271.398035773125</v>
      </c>
      <c r="AF74" s="217">
        <f>IFERROR(AF18/Dashboard_2!$H$6,0)</f>
        <v>1326.6165022924531</v>
      </c>
      <c r="AG74" s="217">
        <f>IFERROR(AG18/Dashboard_2!$H$6,0)</f>
        <v>1383.2154304747644</v>
      </c>
      <c r="AH74" s="217">
        <f>IFERROR(AH18/Dashboard_2!$H$6,0)</f>
        <v>1441.2293318616335</v>
      </c>
      <c r="AI74" s="217">
        <f>IFERROR(AI18/Dashboard_2!$H$6,0)</f>
        <v>1500.6935807831742</v>
      </c>
      <c r="AJ74" s="217">
        <f>IFERROR(AJ18/Dashboard_2!$H$6,0)</f>
        <v>1561.6444359277534</v>
      </c>
      <c r="AK74" s="217">
        <f>IFERROR(AK18/Dashboard_2!$H$6,0)</f>
        <v>1624.1190624509472</v>
      </c>
      <c r="AL74" s="217">
        <f>IFERROR(AL18/Dashboard_2!$H$6,0)</f>
        <v>1688.155554637221</v>
      </c>
      <c r="AM74" s="217">
        <f>IFERROR(AM18/Dashboard_2!$H$6,0)</f>
        <v>1753.7929591281513</v>
      </c>
      <c r="AN74" s="217">
        <f>IFERROR(AN18/Dashboard_2!$H$6,0)</f>
        <v>1821.071298731355</v>
      </c>
      <c r="AO74" s="217">
        <f>IFERROR(AO18/Dashboard_2!$H$6,0)</f>
        <v>1890.0315968246389</v>
      </c>
      <c r="AP74" s="217">
        <f>IFERROR(AP18/Dashboard_2!$H$6,0)</f>
        <v>1960.7159023702545</v>
      </c>
      <c r="AQ74" s="217">
        <f>IFERROR(AQ18/Dashboard_2!$H$6,0)</f>
        <v>2033.1673155545109</v>
      </c>
      <c r="AR74" s="217">
        <f>IFERROR(AR18/Dashboard_2!$H$6,0)</f>
        <v>2107.4300140683736</v>
      </c>
      <c r="AS74" s="217">
        <f>IFERROR(AS18/Dashboard_2!$H$6,0)</f>
        <v>2183.5492800450825</v>
      </c>
      <c r="AT74" s="217">
        <f>IFERROR(AT18/Dashboard_2!$H$6,0)</f>
        <v>2261.5715276712094</v>
      </c>
      <c r="AU74" s="217">
        <f>IFERROR(AU18/Dashboard_2!$H$6,0)</f>
        <v>2341.5443314879899</v>
      </c>
      <c r="AV74" s="217">
        <f>IFERROR(AV18/Dashboard_2!$H$6,0)</f>
        <v>2423.5164554001894</v>
      </c>
      <c r="AW74" s="217">
        <f>IFERROR(AW18/Dashboard_2!$H$6,0)</f>
        <v>2507.537882410194</v>
      </c>
      <c r="AX74" s="217">
        <f>IFERROR(AX18/Dashboard_2!$H$6,0)</f>
        <v>2593.6598450954489</v>
      </c>
      <c r="AY74" s="217">
        <f>IFERROR(AY18/Dashboard_2!$H$6,0)</f>
        <v>2681.9348568478349</v>
      </c>
      <c r="AZ74" s="180"/>
      <c r="BA74" s="180"/>
    </row>
    <row r="75" spans="1:53" x14ac:dyDescent="0.45">
      <c r="A75" s="41" t="str">
        <f t="shared" si="2"/>
        <v>Arborist tree health inspection ($)</v>
      </c>
      <c r="B75" s="217">
        <f>IFERROR(B19/Dashboard_2!$H$6,0)</f>
        <v>5</v>
      </c>
      <c r="C75" s="217">
        <f>IFERROR(C19/Dashboard_2!$H$6,0)</f>
        <v>10.125</v>
      </c>
      <c r="D75" s="217">
        <f>IFERROR(D19/Dashboard_2!$H$6,0)</f>
        <v>15.378125000000001</v>
      </c>
      <c r="E75" s="217">
        <f>IFERROR(E19/Dashboard_2!$H$6,0)</f>
        <v>20.762578125000001</v>
      </c>
      <c r="F75" s="217">
        <f>IFERROR(F19/Dashboard_2!$H$6,0)</f>
        <v>26.281642578124998</v>
      </c>
      <c r="G75" s="217">
        <f>IFERROR(G19/Dashboard_2!$H$6,0)</f>
        <v>31.93868364257812</v>
      </c>
      <c r="H75" s="217">
        <f>IFERROR(H19/Dashboard_2!$H$6,0)</f>
        <v>37.737150733642572</v>
      </c>
      <c r="I75" s="217">
        <f>IFERROR(I19/Dashboard_2!$H$6,0)</f>
        <v>43.680579501983637</v>
      </c>
      <c r="J75" s="217">
        <f>IFERROR(J19/Dashboard_2!$H$6,0)</f>
        <v>49.772593989533227</v>
      </c>
      <c r="K75" s="217">
        <f>IFERROR(K19/Dashboard_2!$H$6,0)</f>
        <v>56.016908839271558</v>
      </c>
      <c r="L75" s="217">
        <f>IFERROR(L19/Dashboard_2!$H$6,0)</f>
        <v>62.417331560253345</v>
      </c>
      <c r="M75" s="217">
        <f>IFERROR(M19/Dashboard_2!$H$6,0)</f>
        <v>68.977764849259671</v>
      </c>
      <c r="N75" s="217">
        <f>IFERROR(N19/Dashboard_2!$H$6,0)</f>
        <v>75.702208970491171</v>
      </c>
      <c r="O75" s="217">
        <f>IFERROR(O19/Dashboard_2!$H$6,0)</f>
        <v>82.594764194753438</v>
      </c>
      <c r="P75" s="217">
        <f>IFERROR(P19/Dashboard_2!$H$6,0)</f>
        <v>89.659633299622271</v>
      </c>
      <c r="Q75" s="217">
        <f>IFERROR(Q19/Dashboard_2!$H$6,0)</f>
        <v>96.901124132112813</v>
      </c>
      <c r="R75" s="217">
        <f>IFERROR(R19/Dashboard_2!$H$6,0)</f>
        <v>104.32365223541564</v>
      </c>
      <c r="S75" s="217">
        <f>IFERROR(S19/Dashboard_2!$H$6,0)</f>
        <v>111.93174354130102</v>
      </c>
      <c r="T75" s="217">
        <f>IFERROR(T19/Dashboard_2!$H$6,0)</f>
        <v>119.73003712983355</v>
      </c>
      <c r="U75" s="217">
        <f>IFERROR(U19/Dashboard_2!$H$6,0)</f>
        <v>127.72328805807938</v>
      </c>
      <c r="V75" s="217">
        <f>IFERROR(V19/Dashboard_2!$H$6,0)</f>
        <v>135.91637025953136</v>
      </c>
      <c r="W75" s="217">
        <f>IFERROR(W19/Dashboard_2!$H$6,0)</f>
        <v>144.31427951601964</v>
      </c>
      <c r="X75" s="217">
        <f>IFERROR(X19/Dashboard_2!$H$6,0)</f>
        <v>152.92213650392011</v>
      </c>
      <c r="Y75" s="217">
        <f>IFERROR(Y19/Dashboard_2!$H$6,0)</f>
        <v>161.74518991651811</v>
      </c>
      <c r="Z75" s="217">
        <f>IFERROR(Z19/Dashboard_2!$H$6,0)</f>
        <v>170.78881966443106</v>
      </c>
      <c r="AA75" s="217">
        <f>IFERROR(AA19/Dashboard_2!$H$6,0)</f>
        <v>180.05854015604183</v>
      </c>
      <c r="AB75" s="217">
        <f>IFERROR(AB19/Dashboard_2!$H$6,0)</f>
        <v>189.56000365994285</v>
      </c>
      <c r="AC75" s="217">
        <f>IFERROR(AC19/Dashboard_2!$H$6,0)</f>
        <v>199.2990037514414</v>
      </c>
      <c r="AD75" s="217">
        <f>IFERROR(AD19/Dashboard_2!$H$6,0)</f>
        <v>209.28147884522744</v>
      </c>
      <c r="AE75" s="217">
        <f>IFERROR(AE19/Dashboard_2!$H$6,0)</f>
        <v>219.51351581635811</v>
      </c>
      <c r="AF75" s="217">
        <f>IFERROR(AF19/Dashboard_2!$H$6,0)</f>
        <v>230.00135371176708</v>
      </c>
      <c r="AG75" s="217">
        <f>IFERROR(AG19/Dashboard_2!$H$6,0)</f>
        <v>240.75138755456126</v>
      </c>
      <c r="AH75" s="217">
        <f>IFERROR(AH19/Dashboard_2!$H$6,0)</f>
        <v>251.77017224342529</v>
      </c>
      <c r="AI75" s="217">
        <f>IFERROR(AI19/Dashboard_2!$H$6,0)</f>
        <v>263.06442654951093</v>
      </c>
      <c r="AJ75" s="217">
        <f>IFERROR(AJ19/Dashboard_2!$H$6,0)</f>
        <v>274.64103721324869</v>
      </c>
      <c r="AK75" s="217">
        <f>IFERROR(AK19/Dashboard_2!$H$6,0)</f>
        <v>286.5070631435799</v>
      </c>
      <c r="AL75" s="217">
        <f>IFERROR(AL19/Dashboard_2!$H$6,0)</f>
        <v>298.66973972216937</v>
      </c>
      <c r="AM75" s="217">
        <f>IFERROR(AM19/Dashboard_2!$H$6,0)</f>
        <v>311.13648321522356</v>
      </c>
      <c r="AN75" s="217">
        <f>IFERROR(AN19/Dashboard_2!$H$6,0)</f>
        <v>323.91489529560414</v>
      </c>
      <c r="AO75" s="217">
        <f>IFERROR(AO19/Dashboard_2!$H$6,0)</f>
        <v>337.01276767799419</v>
      </c>
      <c r="AP75" s="217">
        <f>IFERROR(AP19/Dashboard_2!$H$6,0)</f>
        <v>350.43808686994402</v>
      </c>
      <c r="AQ75" s="217">
        <f>IFERROR(AQ19/Dashboard_2!$H$6,0)</f>
        <v>364.19903904169257</v>
      </c>
      <c r="AR75" s="217">
        <f>IFERROR(AR19/Dashboard_2!$H$6,0)</f>
        <v>378.30401501773486</v>
      </c>
      <c r="AS75" s="217">
        <f>IFERROR(AS19/Dashboard_2!$H$6,0)</f>
        <v>392.7616153931782</v>
      </c>
      <c r="AT75" s="217">
        <f>IFERROR(AT19/Dashboard_2!$H$6,0)</f>
        <v>407.58065577800767</v>
      </c>
      <c r="AU75" s="217">
        <f>IFERROR(AU19/Dashboard_2!$H$6,0)</f>
        <v>422.77017217245782</v>
      </c>
      <c r="AV75" s="217">
        <f>IFERROR(AV19/Dashboard_2!$H$6,0)</f>
        <v>438.33942647676923</v>
      </c>
      <c r="AW75" s="217">
        <f>IFERROR(AW19/Dashboard_2!$H$6,0)</f>
        <v>454.29791213868839</v>
      </c>
      <c r="AX75" s="217">
        <f>IFERROR(AX19/Dashboard_2!$H$6,0)</f>
        <v>470.65535994215566</v>
      </c>
      <c r="AY75" s="217">
        <f>IFERROR(AY19/Dashboard_2!$H$6,0)</f>
        <v>487.42174394070952</v>
      </c>
      <c r="AZ75" s="180"/>
      <c r="BA75" s="180"/>
    </row>
    <row r="76" spans="1:53" x14ac:dyDescent="0.45">
      <c r="A76" s="41" t="str">
        <f t="shared" si="2"/>
        <v>Visual tree inspection ($)</v>
      </c>
      <c r="B76" s="217">
        <f>IFERROR(B20/Dashboard_2!$H$6,0)</f>
        <v>3</v>
      </c>
      <c r="C76" s="217">
        <f>IFERROR(C20/Dashboard_2!$H$6,0)</f>
        <v>6.0750000000000002</v>
      </c>
      <c r="D76" s="217">
        <f>IFERROR(D20/Dashboard_2!$H$6,0)</f>
        <v>9.2268749999999997</v>
      </c>
      <c r="E76" s="217">
        <f>IFERROR(E20/Dashboard_2!$H$6,0)</f>
        <v>12.457546875</v>
      </c>
      <c r="F76" s="217">
        <f>IFERROR(F20/Dashboard_2!$H$6,0)</f>
        <v>15.768985546875001</v>
      </c>
      <c r="G76" s="217">
        <f>IFERROR(G20/Dashboard_2!$H$6,0)</f>
        <v>19.163210185546873</v>
      </c>
      <c r="H76" s="217">
        <f>IFERROR(H20/Dashboard_2!$H$6,0)</f>
        <v>22.642290440185544</v>
      </c>
      <c r="I76" s="217">
        <f>IFERROR(I20/Dashboard_2!$H$6,0)</f>
        <v>26.208347701190181</v>
      </c>
      <c r="J76" s="217">
        <f>IFERROR(J20/Dashboard_2!$H$6,0)</f>
        <v>29.863556393719936</v>
      </c>
      <c r="K76" s="217">
        <f>IFERROR(K20/Dashboard_2!$H$6,0)</f>
        <v>33.610145303562931</v>
      </c>
      <c r="L76" s="217">
        <f>IFERROR(L20/Dashboard_2!$H$6,0)</f>
        <v>37.450398936151998</v>
      </c>
      <c r="M76" s="217">
        <f>IFERROR(M20/Dashboard_2!$H$6,0)</f>
        <v>41.386658909555798</v>
      </c>
      <c r="N76" s="217">
        <f>IFERROR(N20/Dashboard_2!$H$6,0)</f>
        <v>45.42132538229469</v>
      </c>
      <c r="O76" s="217">
        <f>IFERROR(O20/Dashboard_2!$H$6,0)</f>
        <v>49.556858516852053</v>
      </c>
      <c r="P76" s="217">
        <f>IFERROR(P20/Dashboard_2!$H$6,0)</f>
        <v>53.79577997977335</v>
      </c>
      <c r="Q76" s="217">
        <f>IFERROR(Q20/Dashboard_2!$H$6,0)</f>
        <v>58.14067447926768</v>
      </c>
      <c r="R76" s="217">
        <f>IFERROR(R20/Dashboard_2!$H$6,0)</f>
        <v>62.59419134124937</v>
      </c>
      <c r="S76" s="217">
        <f>IFERROR(S20/Dashboard_2!$H$6,0)</f>
        <v>67.159046124780602</v>
      </c>
      <c r="T76" s="217">
        <f>IFERROR(T20/Dashboard_2!$H$6,0)</f>
        <v>71.838022277900109</v>
      </c>
      <c r="U76" s="217">
        <f>IFERROR(U20/Dashboard_2!$H$6,0)</f>
        <v>76.633972834847611</v>
      </c>
      <c r="V76" s="217">
        <f>IFERROR(V20/Dashboard_2!$H$6,0)</f>
        <v>81.5498221557188</v>
      </c>
      <c r="W76" s="217">
        <f>IFERROR(W20/Dashboard_2!$H$6,0)</f>
        <v>86.588567709611766</v>
      </c>
      <c r="X76" s="217">
        <f>IFERROR(X20/Dashboard_2!$H$6,0)</f>
        <v>91.753281902352043</v>
      </c>
      <c r="Y76" s="217">
        <f>IFERROR(Y20/Dashboard_2!$H$6,0)</f>
        <v>97.047113949910838</v>
      </c>
      <c r="Z76" s="217">
        <f>IFERROR(Z20/Dashboard_2!$H$6,0)</f>
        <v>102.47329179865861</v>
      </c>
      <c r="AA76" s="217">
        <f>IFERROR(AA20/Dashboard_2!$H$6,0)</f>
        <v>108.03512409362507</v>
      </c>
      <c r="AB76" s="217">
        <f>IFERROR(AB20/Dashboard_2!$H$6,0)</f>
        <v>113.7360021959657</v>
      </c>
      <c r="AC76" s="217">
        <f>IFERROR(AC20/Dashboard_2!$H$6,0)</f>
        <v>119.57940225086485</v>
      </c>
      <c r="AD76" s="217">
        <f>IFERROR(AD20/Dashboard_2!$H$6,0)</f>
        <v>125.56888730713646</v>
      </c>
      <c r="AE76" s="217">
        <f>IFERROR(AE20/Dashboard_2!$H$6,0)</f>
        <v>131.70810948981486</v>
      </c>
      <c r="AF76" s="217">
        <f>IFERROR(AF20/Dashboard_2!$H$6,0)</f>
        <v>138.00081222706024</v>
      </c>
      <c r="AG76" s="217">
        <f>IFERROR(AG20/Dashboard_2!$H$6,0)</f>
        <v>144.45083253273674</v>
      </c>
      <c r="AH76" s="217">
        <f>IFERROR(AH20/Dashboard_2!$H$6,0)</f>
        <v>151.06210334605512</v>
      </c>
      <c r="AI76" s="217">
        <f>IFERROR(AI20/Dashboard_2!$H$6,0)</f>
        <v>157.8386559297065</v>
      </c>
      <c r="AJ76" s="217">
        <f>IFERROR(AJ20/Dashboard_2!$H$6,0)</f>
        <v>164.78462232794919</v>
      </c>
      <c r="AK76" s="217">
        <f>IFERROR(AK20/Dashboard_2!$H$6,0)</f>
        <v>171.90423788614788</v>
      </c>
      <c r="AL76" s="217">
        <f>IFERROR(AL20/Dashboard_2!$H$6,0)</f>
        <v>179.20184383330158</v>
      </c>
      <c r="AM76" s="217">
        <f>IFERROR(AM20/Dashboard_2!$H$6,0)</f>
        <v>186.68188992913409</v>
      </c>
      <c r="AN76" s="217">
        <f>IFERROR(AN20/Dashboard_2!$H$6,0)</f>
        <v>194.34893717736242</v>
      </c>
      <c r="AO76" s="217">
        <f>IFERROR(AO20/Dashboard_2!$H$6,0)</f>
        <v>202.20766060679648</v>
      </c>
      <c r="AP76" s="217">
        <f>IFERROR(AP20/Dashboard_2!$H$6,0)</f>
        <v>210.26285212196638</v>
      </c>
      <c r="AQ76" s="217">
        <f>IFERROR(AQ20/Dashboard_2!$H$6,0)</f>
        <v>218.51942342501553</v>
      </c>
      <c r="AR76" s="217">
        <f>IFERROR(AR20/Dashboard_2!$H$6,0)</f>
        <v>226.98240901064091</v>
      </c>
      <c r="AS76" s="217">
        <f>IFERROR(AS20/Dashboard_2!$H$6,0)</f>
        <v>235.6569692359069</v>
      </c>
      <c r="AT76" s="217">
        <f>IFERROR(AT20/Dashboard_2!$H$6,0)</f>
        <v>244.54839346680455</v>
      </c>
      <c r="AU76" s="217">
        <f>IFERROR(AU20/Dashboard_2!$H$6,0)</f>
        <v>253.66210330347465</v>
      </c>
      <c r="AV76" s="217">
        <f>IFERROR(AV20/Dashboard_2!$H$6,0)</f>
        <v>263.00365588606149</v>
      </c>
      <c r="AW76" s="217">
        <f>IFERROR(AW20/Dashboard_2!$H$6,0)</f>
        <v>272.57874728321303</v>
      </c>
      <c r="AX76" s="217">
        <f>IFERROR(AX20/Dashboard_2!$H$6,0)</f>
        <v>282.39321596529334</v>
      </c>
      <c r="AY76" s="217">
        <f>IFERROR(AY20/Dashboard_2!$H$6,0)</f>
        <v>292.45304636442563</v>
      </c>
      <c r="AZ76" s="180"/>
      <c r="BA76" s="180"/>
    </row>
    <row r="77" spans="1:53" x14ac:dyDescent="0.45">
      <c r="A77" s="41" t="str">
        <f t="shared" si="2"/>
        <v>GIS mapping and inventory assessment ($)</v>
      </c>
      <c r="B77" s="217">
        <f>IFERROR(B21/Dashboard_2!$H$6,0)</f>
        <v>2.4</v>
      </c>
      <c r="C77" s="217">
        <f>IFERROR(C21/Dashboard_2!$H$6,0)</f>
        <v>2.4</v>
      </c>
      <c r="D77" s="217">
        <f>IFERROR(D21/Dashboard_2!$H$6,0)</f>
        <v>2.4</v>
      </c>
      <c r="E77" s="217">
        <f>IFERROR(E21/Dashboard_2!$H$6,0)</f>
        <v>2.4</v>
      </c>
      <c r="F77" s="217">
        <f>IFERROR(F21/Dashboard_2!$H$6,0)</f>
        <v>2.4</v>
      </c>
      <c r="G77" s="217">
        <f>IFERROR(G21/Dashboard_2!$H$6,0)</f>
        <v>2.4</v>
      </c>
      <c r="H77" s="217">
        <f>IFERROR(H21/Dashboard_2!$H$6,0)</f>
        <v>2.4</v>
      </c>
      <c r="I77" s="217">
        <f>IFERROR(I21/Dashboard_2!$H$6,0)</f>
        <v>2.4</v>
      </c>
      <c r="J77" s="217">
        <f>IFERROR(J21/Dashboard_2!$H$6,0)</f>
        <v>2.4</v>
      </c>
      <c r="K77" s="217">
        <f>IFERROR(K21/Dashboard_2!$H$6,0)</f>
        <v>2.4</v>
      </c>
      <c r="L77" s="217">
        <f>IFERROR(L21/Dashboard_2!$H$6,0)</f>
        <v>2.4</v>
      </c>
      <c r="M77" s="217">
        <f>IFERROR(M21/Dashboard_2!$H$6,0)</f>
        <v>2.4</v>
      </c>
      <c r="N77" s="217">
        <f>IFERROR(N21/Dashboard_2!$H$6,0)</f>
        <v>2.4</v>
      </c>
      <c r="O77" s="217">
        <f>IFERROR(O21/Dashboard_2!$H$6,0)</f>
        <v>2.4</v>
      </c>
      <c r="P77" s="217">
        <f>IFERROR(P21/Dashboard_2!$H$6,0)</f>
        <v>2.4</v>
      </c>
      <c r="Q77" s="217">
        <f>IFERROR(Q21/Dashboard_2!$H$6,0)</f>
        <v>2.4</v>
      </c>
      <c r="R77" s="217">
        <f>IFERROR(R21/Dashboard_2!$H$6,0)</f>
        <v>2.4</v>
      </c>
      <c r="S77" s="217">
        <f>IFERROR(S21/Dashboard_2!$H$6,0)</f>
        <v>2.4</v>
      </c>
      <c r="T77" s="217">
        <f>IFERROR(T21/Dashboard_2!$H$6,0)</f>
        <v>2.4</v>
      </c>
      <c r="U77" s="217">
        <f>IFERROR(U21/Dashboard_2!$H$6,0)</f>
        <v>2.4</v>
      </c>
      <c r="V77" s="217">
        <f>IFERROR(V21/Dashboard_2!$H$6,0)</f>
        <v>2.4</v>
      </c>
      <c r="W77" s="217">
        <f>IFERROR(W21/Dashboard_2!$H$6,0)</f>
        <v>2.4</v>
      </c>
      <c r="X77" s="217">
        <f>IFERROR(X21/Dashboard_2!$H$6,0)</f>
        <v>2.4</v>
      </c>
      <c r="Y77" s="217">
        <f>IFERROR(Y21/Dashboard_2!$H$6,0)</f>
        <v>2.4</v>
      </c>
      <c r="Z77" s="217">
        <f>IFERROR(Z21/Dashboard_2!$H$6,0)</f>
        <v>2.4</v>
      </c>
      <c r="AA77" s="217">
        <f>IFERROR(AA21/Dashboard_2!$H$6,0)</f>
        <v>2.4</v>
      </c>
      <c r="AB77" s="217">
        <f>IFERROR(AB21/Dashboard_2!$H$6,0)</f>
        <v>2.4</v>
      </c>
      <c r="AC77" s="217">
        <f>IFERROR(AC21/Dashboard_2!$H$6,0)</f>
        <v>2.4</v>
      </c>
      <c r="AD77" s="217">
        <f>IFERROR(AD21/Dashboard_2!$H$6,0)</f>
        <v>2.4</v>
      </c>
      <c r="AE77" s="217">
        <f>IFERROR(AE21/Dashboard_2!$H$6,0)</f>
        <v>2.4</v>
      </c>
      <c r="AF77" s="217">
        <f>IFERROR(AF21/Dashboard_2!$H$6,0)</f>
        <v>2.4</v>
      </c>
      <c r="AG77" s="217">
        <f>IFERROR(AG21/Dashboard_2!$H$6,0)</f>
        <v>2.4</v>
      </c>
      <c r="AH77" s="217">
        <f>IFERROR(AH21/Dashboard_2!$H$6,0)</f>
        <v>2.4</v>
      </c>
      <c r="AI77" s="217">
        <f>IFERROR(AI21/Dashboard_2!$H$6,0)</f>
        <v>2.4</v>
      </c>
      <c r="AJ77" s="217">
        <f>IFERROR(AJ21/Dashboard_2!$H$6,0)</f>
        <v>2.4</v>
      </c>
      <c r="AK77" s="217">
        <f>IFERROR(AK21/Dashboard_2!$H$6,0)</f>
        <v>2.4</v>
      </c>
      <c r="AL77" s="217">
        <f>IFERROR(AL21/Dashboard_2!$H$6,0)</f>
        <v>2.4</v>
      </c>
      <c r="AM77" s="217">
        <f>IFERROR(AM21/Dashboard_2!$H$6,0)</f>
        <v>2.4</v>
      </c>
      <c r="AN77" s="217">
        <f>IFERROR(AN21/Dashboard_2!$H$6,0)</f>
        <v>2.4</v>
      </c>
      <c r="AO77" s="217">
        <f>IFERROR(AO21/Dashboard_2!$H$6,0)</f>
        <v>2.4</v>
      </c>
      <c r="AP77" s="217">
        <f>IFERROR(AP21/Dashboard_2!$H$6,0)</f>
        <v>2.4</v>
      </c>
      <c r="AQ77" s="217">
        <f>IFERROR(AQ21/Dashboard_2!$H$6,0)</f>
        <v>2.4</v>
      </c>
      <c r="AR77" s="217">
        <f>IFERROR(AR21/Dashboard_2!$H$6,0)</f>
        <v>2.4</v>
      </c>
      <c r="AS77" s="217">
        <f>IFERROR(AS21/Dashboard_2!$H$6,0)</f>
        <v>2.4</v>
      </c>
      <c r="AT77" s="217">
        <f>IFERROR(AT21/Dashboard_2!$H$6,0)</f>
        <v>2.4</v>
      </c>
      <c r="AU77" s="217">
        <f>IFERROR(AU21/Dashboard_2!$H$6,0)</f>
        <v>2.4</v>
      </c>
      <c r="AV77" s="217">
        <f>IFERROR(AV21/Dashboard_2!$H$6,0)</f>
        <v>2.4</v>
      </c>
      <c r="AW77" s="217">
        <f>IFERROR(AW21/Dashboard_2!$H$6,0)</f>
        <v>2.4</v>
      </c>
      <c r="AX77" s="217">
        <f>IFERROR(AX21/Dashboard_2!$H$6,0)</f>
        <v>2.4</v>
      </c>
      <c r="AY77" s="217">
        <f>IFERROR(AY21/Dashboard_2!$H$6,0)</f>
        <v>2.4</v>
      </c>
      <c r="AZ77" s="180"/>
      <c r="BA77" s="180"/>
    </row>
    <row r="78" spans="1:53" x14ac:dyDescent="0.45">
      <c r="A78" s="41" t="str">
        <f t="shared" si="2"/>
        <v>User specified cost item 1 ($/tree in Year 1 only)</v>
      </c>
      <c r="B78" s="217">
        <f>IFERROR(B22/Dashboard_2!$H$6,0)</f>
        <v>0</v>
      </c>
      <c r="C78" s="217">
        <f>IFERROR(C22/Dashboard_2!$H$6,0)</f>
        <v>0</v>
      </c>
      <c r="D78" s="217">
        <f>IFERROR(D22/Dashboard_2!$H$6,0)</f>
        <v>0</v>
      </c>
      <c r="E78" s="217">
        <f>IFERROR(E22/Dashboard_2!$H$6,0)</f>
        <v>0</v>
      </c>
      <c r="F78" s="217">
        <f>IFERROR(F22/Dashboard_2!$H$6,0)</f>
        <v>0</v>
      </c>
      <c r="G78" s="217">
        <f>IFERROR(G22/Dashboard_2!$H$6,0)</f>
        <v>0</v>
      </c>
      <c r="H78" s="217">
        <f>IFERROR(H22/Dashboard_2!$H$6,0)</f>
        <v>0</v>
      </c>
      <c r="I78" s="217">
        <f>IFERROR(I22/Dashboard_2!$H$6,0)</f>
        <v>0</v>
      </c>
      <c r="J78" s="217">
        <f>IFERROR(J22/Dashboard_2!$H$6,0)</f>
        <v>0</v>
      </c>
      <c r="K78" s="217">
        <f>IFERROR(K22/Dashboard_2!$H$6,0)</f>
        <v>0</v>
      </c>
      <c r="L78" s="217">
        <f>IFERROR(L22/Dashboard_2!$H$6,0)</f>
        <v>0</v>
      </c>
      <c r="M78" s="217">
        <f>IFERROR(M22/Dashboard_2!$H$6,0)</f>
        <v>0</v>
      </c>
      <c r="N78" s="217">
        <f>IFERROR(N22/Dashboard_2!$H$6,0)</f>
        <v>0</v>
      </c>
      <c r="O78" s="217">
        <f>IFERROR(O22/Dashboard_2!$H$6,0)</f>
        <v>0</v>
      </c>
      <c r="P78" s="217">
        <f>IFERROR(P22/Dashboard_2!$H$6,0)</f>
        <v>0</v>
      </c>
      <c r="Q78" s="217">
        <f>IFERROR(Q22/Dashboard_2!$H$6,0)</f>
        <v>0</v>
      </c>
      <c r="R78" s="217">
        <f>IFERROR(R22/Dashboard_2!$H$6,0)</f>
        <v>0</v>
      </c>
      <c r="S78" s="217">
        <f>IFERROR(S22/Dashboard_2!$H$6,0)</f>
        <v>0</v>
      </c>
      <c r="T78" s="217">
        <f>IFERROR(T22/Dashboard_2!$H$6,0)</f>
        <v>0</v>
      </c>
      <c r="U78" s="217">
        <f>IFERROR(U22/Dashboard_2!$H$6,0)</f>
        <v>0</v>
      </c>
      <c r="V78" s="217">
        <f>IFERROR(V22/Dashboard_2!$H$6,0)</f>
        <v>0</v>
      </c>
      <c r="W78" s="217">
        <f>IFERROR(W22/Dashboard_2!$H$6,0)</f>
        <v>0</v>
      </c>
      <c r="X78" s="217">
        <f>IFERROR(X22/Dashboard_2!$H$6,0)</f>
        <v>0</v>
      </c>
      <c r="Y78" s="217">
        <f>IFERROR(Y22/Dashboard_2!$H$6,0)</f>
        <v>0</v>
      </c>
      <c r="Z78" s="217">
        <f>IFERROR(Z22/Dashboard_2!$H$6,0)</f>
        <v>0</v>
      </c>
      <c r="AA78" s="217">
        <f>IFERROR(AA22/Dashboard_2!$H$6,0)</f>
        <v>0</v>
      </c>
      <c r="AB78" s="217">
        <f>IFERROR(AB22/Dashboard_2!$H$6,0)</f>
        <v>0</v>
      </c>
      <c r="AC78" s="217">
        <f>IFERROR(AC22/Dashboard_2!$H$6,0)</f>
        <v>0</v>
      </c>
      <c r="AD78" s="217">
        <f>IFERROR(AD22/Dashboard_2!$H$6,0)</f>
        <v>0</v>
      </c>
      <c r="AE78" s="217">
        <f>IFERROR(AE22/Dashboard_2!$H$6,0)</f>
        <v>0</v>
      </c>
      <c r="AF78" s="217">
        <f>IFERROR(AF22/Dashboard_2!$H$6,0)</f>
        <v>0</v>
      </c>
      <c r="AG78" s="217">
        <f>IFERROR(AG22/Dashboard_2!$H$6,0)</f>
        <v>0</v>
      </c>
      <c r="AH78" s="217">
        <f>IFERROR(AH22/Dashboard_2!$H$6,0)</f>
        <v>0</v>
      </c>
      <c r="AI78" s="217">
        <f>IFERROR(AI22/Dashboard_2!$H$6,0)</f>
        <v>0</v>
      </c>
      <c r="AJ78" s="217">
        <f>IFERROR(AJ22/Dashboard_2!$H$6,0)</f>
        <v>0</v>
      </c>
      <c r="AK78" s="217">
        <f>IFERROR(AK22/Dashboard_2!$H$6,0)</f>
        <v>0</v>
      </c>
      <c r="AL78" s="217">
        <f>IFERROR(AL22/Dashboard_2!$H$6,0)</f>
        <v>0</v>
      </c>
      <c r="AM78" s="217">
        <f>IFERROR(AM22/Dashboard_2!$H$6,0)</f>
        <v>0</v>
      </c>
      <c r="AN78" s="217">
        <f>IFERROR(AN22/Dashboard_2!$H$6,0)</f>
        <v>0</v>
      </c>
      <c r="AO78" s="217">
        <f>IFERROR(AO22/Dashboard_2!$H$6,0)</f>
        <v>0</v>
      </c>
      <c r="AP78" s="217">
        <f>IFERROR(AP22/Dashboard_2!$H$6,0)</f>
        <v>0</v>
      </c>
      <c r="AQ78" s="217">
        <f>IFERROR(AQ22/Dashboard_2!$H$6,0)</f>
        <v>0</v>
      </c>
      <c r="AR78" s="217">
        <f>IFERROR(AR22/Dashboard_2!$H$6,0)</f>
        <v>0</v>
      </c>
      <c r="AS78" s="217">
        <f>IFERROR(AS22/Dashboard_2!$H$6,0)</f>
        <v>0</v>
      </c>
      <c r="AT78" s="217">
        <f>IFERROR(AT22/Dashboard_2!$H$6,0)</f>
        <v>0</v>
      </c>
      <c r="AU78" s="217">
        <f>IFERROR(AU22/Dashboard_2!$H$6,0)</f>
        <v>0</v>
      </c>
      <c r="AV78" s="217">
        <f>IFERROR(AV22/Dashboard_2!$H$6,0)</f>
        <v>0</v>
      </c>
      <c r="AW78" s="217">
        <f>IFERROR(AW22/Dashboard_2!$H$6,0)</f>
        <v>0</v>
      </c>
      <c r="AX78" s="217">
        <f>IFERROR(AX22/Dashboard_2!$H$6,0)</f>
        <v>0</v>
      </c>
      <c r="AY78" s="217">
        <f>IFERROR(AY22/Dashboard_2!$H$6,0)</f>
        <v>0</v>
      </c>
      <c r="AZ78" s="180"/>
      <c r="BA78" s="180"/>
    </row>
    <row r="79" spans="1:53" x14ac:dyDescent="0.45">
      <c r="A79" s="41" t="str">
        <f t="shared" si="2"/>
        <v>User specified cost item 2 ($/tree per annum up to year 2)</v>
      </c>
      <c r="B79" s="217">
        <f>IFERROR(B23/Dashboard_2!$H$6,0)</f>
        <v>0</v>
      </c>
      <c r="C79" s="217">
        <f>IFERROR(C23/Dashboard_2!$H$6,0)</f>
        <v>0</v>
      </c>
      <c r="D79" s="217">
        <f>IFERROR(D23/Dashboard_2!$H$6,0)</f>
        <v>0</v>
      </c>
      <c r="E79" s="217">
        <f>IFERROR(E23/Dashboard_2!$H$6,0)</f>
        <v>0</v>
      </c>
      <c r="F79" s="217">
        <f>IFERROR(F23/Dashboard_2!$H$6,0)</f>
        <v>0</v>
      </c>
      <c r="G79" s="217">
        <f>IFERROR(G23/Dashboard_2!$H$6,0)</f>
        <v>0</v>
      </c>
      <c r="H79" s="217">
        <f>IFERROR(H23/Dashboard_2!$H$6,0)</f>
        <v>0</v>
      </c>
      <c r="I79" s="217">
        <f>IFERROR(I23/Dashboard_2!$H$6,0)</f>
        <v>0</v>
      </c>
      <c r="J79" s="217">
        <f>IFERROR(J23/Dashboard_2!$H$6,0)</f>
        <v>0</v>
      </c>
      <c r="K79" s="217">
        <f>IFERROR(K23/Dashboard_2!$H$6,0)</f>
        <v>0</v>
      </c>
      <c r="L79" s="217">
        <f>IFERROR(L23/Dashboard_2!$H$6,0)</f>
        <v>0</v>
      </c>
      <c r="M79" s="217">
        <f>IFERROR(M23/Dashboard_2!$H$6,0)</f>
        <v>0</v>
      </c>
      <c r="N79" s="217">
        <f>IFERROR(N23/Dashboard_2!$H$6,0)</f>
        <v>0</v>
      </c>
      <c r="O79" s="217">
        <f>IFERROR(O23/Dashboard_2!$H$6,0)</f>
        <v>0</v>
      </c>
      <c r="P79" s="217">
        <f>IFERROR(P23/Dashboard_2!$H$6,0)</f>
        <v>0</v>
      </c>
      <c r="Q79" s="217">
        <f>IFERROR(Q23/Dashboard_2!$H$6,0)</f>
        <v>0</v>
      </c>
      <c r="R79" s="217">
        <f>IFERROR(R23/Dashboard_2!$H$6,0)</f>
        <v>0</v>
      </c>
      <c r="S79" s="217">
        <f>IFERROR(S23/Dashboard_2!$H$6,0)</f>
        <v>0</v>
      </c>
      <c r="T79" s="217">
        <f>IFERROR(T23/Dashboard_2!$H$6,0)</f>
        <v>0</v>
      </c>
      <c r="U79" s="217">
        <f>IFERROR(U23/Dashboard_2!$H$6,0)</f>
        <v>0</v>
      </c>
      <c r="V79" s="217">
        <f>IFERROR(V23/Dashboard_2!$H$6,0)</f>
        <v>0</v>
      </c>
      <c r="W79" s="217">
        <f>IFERROR(W23/Dashboard_2!$H$6,0)</f>
        <v>0</v>
      </c>
      <c r="X79" s="217">
        <f>IFERROR(X23/Dashboard_2!$H$6,0)</f>
        <v>0</v>
      </c>
      <c r="Y79" s="217">
        <f>IFERROR(Y23/Dashboard_2!$H$6,0)</f>
        <v>0</v>
      </c>
      <c r="Z79" s="217">
        <f>IFERROR(Z23/Dashboard_2!$H$6,0)</f>
        <v>0</v>
      </c>
      <c r="AA79" s="217">
        <f>IFERROR(AA23/Dashboard_2!$H$6,0)</f>
        <v>0</v>
      </c>
      <c r="AB79" s="217">
        <f>IFERROR(AB23/Dashboard_2!$H$6,0)</f>
        <v>0</v>
      </c>
      <c r="AC79" s="217">
        <f>IFERROR(AC23/Dashboard_2!$H$6,0)</f>
        <v>0</v>
      </c>
      <c r="AD79" s="217">
        <f>IFERROR(AD23/Dashboard_2!$H$6,0)</f>
        <v>0</v>
      </c>
      <c r="AE79" s="217">
        <f>IFERROR(AE23/Dashboard_2!$H$6,0)</f>
        <v>0</v>
      </c>
      <c r="AF79" s="217">
        <f>IFERROR(AF23/Dashboard_2!$H$6,0)</f>
        <v>0</v>
      </c>
      <c r="AG79" s="217">
        <f>IFERROR(AG23/Dashboard_2!$H$6,0)</f>
        <v>0</v>
      </c>
      <c r="AH79" s="217">
        <f>IFERROR(AH23/Dashboard_2!$H$6,0)</f>
        <v>0</v>
      </c>
      <c r="AI79" s="217">
        <f>IFERROR(AI23/Dashboard_2!$H$6,0)</f>
        <v>0</v>
      </c>
      <c r="AJ79" s="217">
        <f>IFERROR(AJ23/Dashboard_2!$H$6,0)</f>
        <v>0</v>
      </c>
      <c r="AK79" s="217">
        <f>IFERROR(AK23/Dashboard_2!$H$6,0)</f>
        <v>0</v>
      </c>
      <c r="AL79" s="217">
        <f>IFERROR(AL23/Dashboard_2!$H$6,0)</f>
        <v>0</v>
      </c>
      <c r="AM79" s="217">
        <f>IFERROR(AM23/Dashboard_2!$H$6,0)</f>
        <v>0</v>
      </c>
      <c r="AN79" s="217">
        <f>IFERROR(AN23/Dashboard_2!$H$6,0)</f>
        <v>0</v>
      </c>
      <c r="AO79" s="217">
        <f>IFERROR(AO23/Dashboard_2!$H$6,0)</f>
        <v>0</v>
      </c>
      <c r="AP79" s="217">
        <f>IFERROR(AP23/Dashboard_2!$H$6,0)</f>
        <v>0</v>
      </c>
      <c r="AQ79" s="217">
        <f>IFERROR(AQ23/Dashboard_2!$H$6,0)</f>
        <v>0</v>
      </c>
      <c r="AR79" s="217">
        <f>IFERROR(AR23/Dashboard_2!$H$6,0)</f>
        <v>0</v>
      </c>
      <c r="AS79" s="217">
        <f>IFERROR(AS23/Dashboard_2!$H$6,0)</f>
        <v>0</v>
      </c>
      <c r="AT79" s="217">
        <f>IFERROR(AT23/Dashboard_2!$H$6,0)</f>
        <v>0</v>
      </c>
      <c r="AU79" s="217">
        <f>IFERROR(AU23/Dashboard_2!$H$6,0)</f>
        <v>0</v>
      </c>
      <c r="AV79" s="217">
        <f>IFERROR(AV23/Dashboard_2!$H$6,0)</f>
        <v>0</v>
      </c>
      <c r="AW79" s="217">
        <f>IFERROR(AW23/Dashboard_2!$H$6,0)</f>
        <v>0</v>
      </c>
      <c r="AX79" s="217">
        <f>IFERROR(AX23/Dashboard_2!$H$6,0)</f>
        <v>0</v>
      </c>
      <c r="AY79" s="217">
        <f>IFERROR(AY23/Dashboard_2!$H$6,0)</f>
        <v>0</v>
      </c>
      <c r="AZ79" s="180"/>
      <c r="BA79" s="180"/>
    </row>
    <row r="80" spans="1:53" x14ac:dyDescent="0.45">
      <c r="A80" s="41" t="str">
        <f t="shared" si="2"/>
        <v>User specified cost item 3 ($/tree per annum)</v>
      </c>
      <c r="B80" s="217">
        <f>IFERROR(B24/Dashboard_2!$H$6,0)</f>
        <v>0</v>
      </c>
      <c r="C80" s="217">
        <f>IFERROR(C24/Dashboard_2!$H$6,0)</f>
        <v>0</v>
      </c>
      <c r="D80" s="217">
        <f>IFERROR(D24/Dashboard_2!$H$6,0)</f>
        <v>0</v>
      </c>
      <c r="E80" s="217">
        <f>IFERROR(E24/Dashboard_2!$H$6,0)</f>
        <v>0</v>
      </c>
      <c r="F80" s="217">
        <f>IFERROR(F24/Dashboard_2!$H$6,0)</f>
        <v>0</v>
      </c>
      <c r="G80" s="217">
        <f>IFERROR(G24/Dashboard_2!$H$6,0)</f>
        <v>0</v>
      </c>
      <c r="H80" s="217">
        <f>IFERROR(H24/Dashboard_2!$H$6,0)</f>
        <v>0</v>
      </c>
      <c r="I80" s="217">
        <f>IFERROR(I24/Dashboard_2!$H$6,0)</f>
        <v>0</v>
      </c>
      <c r="J80" s="217">
        <f>IFERROR(J24/Dashboard_2!$H$6,0)</f>
        <v>0</v>
      </c>
      <c r="K80" s="217">
        <f>IFERROR(K24/Dashboard_2!$H$6,0)</f>
        <v>0</v>
      </c>
      <c r="L80" s="217">
        <f>IFERROR(L24/Dashboard_2!$H$6,0)</f>
        <v>0</v>
      </c>
      <c r="M80" s="217">
        <f>IFERROR(M24/Dashboard_2!$H$6,0)</f>
        <v>0</v>
      </c>
      <c r="N80" s="217">
        <f>IFERROR(N24/Dashboard_2!$H$6,0)</f>
        <v>0</v>
      </c>
      <c r="O80" s="217">
        <f>IFERROR(O24/Dashboard_2!$H$6,0)</f>
        <v>0</v>
      </c>
      <c r="P80" s="217">
        <f>IFERROR(P24/Dashboard_2!$H$6,0)</f>
        <v>0</v>
      </c>
      <c r="Q80" s="217">
        <f>IFERROR(Q24/Dashboard_2!$H$6,0)</f>
        <v>0</v>
      </c>
      <c r="R80" s="217">
        <f>IFERROR(R24/Dashboard_2!$H$6,0)</f>
        <v>0</v>
      </c>
      <c r="S80" s="217">
        <f>IFERROR(S24/Dashboard_2!$H$6,0)</f>
        <v>0</v>
      </c>
      <c r="T80" s="217">
        <f>IFERROR(T24/Dashboard_2!$H$6,0)</f>
        <v>0</v>
      </c>
      <c r="U80" s="217">
        <f>IFERROR(U24/Dashboard_2!$H$6,0)</f>
        <v>0</v>
      </c>
      <c r="V80" s="217">
        <f>IFERROR(V24/Dashboard_2!$H$6,0)</f>
        <v>0</v>
      </c>
      <c r="W80" s="217">
        <f>IFERROR(W24/Dashboard_2!$H$6,0)</f>
        <v>0</v>
      </c>
      <c r="X80" s="217">
        <f>IFERROR(X24/Dashboard_2!$H$6,0)</f>
        <v>0</v>
      </c>
      <c r="Y80" s="217">
        <f>IFERROR(Y24/Dashboard_2!$H$6,0)</f>
        <v>0</v>
      </c>
      <c r="Z80" s="217">
        <f>IFERROR(Z24/Dashboard_2!$H$6,0)</f>
        <v>0</v>
      </c>
      <c r="AA80" s="217">
        <f>IFERROR(AA24/Dashboard_2!$H$6,0)</f>
        <v>0</v>
      </c>
      <c r="AB80" s="217">
        <f>IFERROR(AB24/Dashboard_2!$H$6,0)</f>
        <v>0</v>
      </c>
      <c r="AC80" s="217">
        <f>IFERROR(AC24/Dashboard_2!$H$6,0)</f>
        <v>0</v>
      </c>
      <c r="AD80" s="217">
        <f>IFERROR(AD24/Dashboard_2!$H$6,0)</f>
        <v>0</v>
      </c>
      <c r="AE80" s="217">
        <f>IFERROR(AE24/Dashboard_2!$H$6,0)</f>
        <v>0</v>
      </c>
      <c r="AF80" s="217">
        <f>IFERROR(AF24/Dashboard_2!$H$6,0)</f>
        <v>0</v>
      </c>
      <c r="AG80" s="217">
        <f>IFERROR(AG24/Dashboard_2!$H$6,0)</f>
        <v>0</v>
      </c>
      <c r="AH80" s="217">
        <f>IFERROR(AH24/Dashboard_2!$H$6,0)</f>
        <v>0</v>
      </c>
      <c r="AI80" s="217">
        <f>IFERROR(AI24/Dashboard_2!$H$6,0)</f>
        <v>0</v>
      </c>
      <c r="AJ80" s="217">
        <f>IFERROR(AJ24/Dashboard_2!$H$6,0)</f>
        <v>0</v>
      </c>
      <c r="AK80" s="217">
        <f>IFERROR(AK24/Dashboard_2!$H$6,0)</f>
        <v>0</v>
      </c>
      <c r="AL80" s="217">
        <f>IFERROR(AL24/Dashboard_2!$H$6,0)</f>
        <v>0</v>
      </c>
      <c r="AM80" s="217">
        <f>IFERROR(AM24/Dashboard_2!$H$6,0)</f>
        <v>0</v>
      </c>
      <c r="AN80" s="217">
        <f>IFERROR(AN24/Dashboard_2!$H$6,0)</f>
        <v>0</v>
      </c>
      <c r="AO80" s="217">
        <f>IFERROR(AO24/Dashboard_2!$H$6,0)</f>
        <v>0</v>
      </c>
      <c r="AP80" s="217">
        <f>IFERROR(AP24/Dashboard_2!$H$6,0)</f>
        <v>0</v>
      </c>
      <c r="AQ80" s="217">
        <f>IFERROR(AQ24/Dashboard_2!$H$6,0)</f>
        <v>0</v>
      </c>
      <c r="AR80" s="217">
        <f>IFERROR(AR24/Dashboard_2!$H$6,0)</f>
        <v>0</v>
      </c>
      <c r="AS80" s="217">
        <f>IFERROR(AS24/Dashboard_2!$H$6,0)</f>
        <v>0</v>
      </c>
      <c r="AT80" s="217">
        <f>IFERROR(AT24/Dashboard_2!$H$6,0)</f>
        <v>0</v>
      </c>
      <c r="AU80" s="217">
        <f>IFERROR(AU24/Dashboard_2!$H$6,0)</f>
        <v>0</v>
      </c>
      <c r="AV80" s="217">
        <f>IFERROR(AV24/Dashboard_2!$H$6,0)</f>
        <v>0</v>
      </c>
      <c r="AW80" s="217">
        <f>IFERROR(AW24/Dashboard_2!$H$6,0)</f>
        <v>0</v>
      </c>
      <c r="AX80" s="217">
        <f>IFERROR(AX24/Dashboard_2!$H$6,0)</f>
        <v>0</v>
      </c>
      <c r="AY80" s="217">
        <f>IFERROR(AY24/Dashboard_2!$H$6,0)</f>
        <v>0</v>
      </c>
      <c r="AZ80" s="180"/>
      <c r="BA80" s="180"/>
    </row>
    <row r="81" spans="1:53" x14ac:dyDescent="0.45">
      <c r="A81" s="41" t="str">
        <f t="shared" si="2"/>
        <v>User specified cost item 4 ($/tree per annum)</v>
      </c>
      <c r="B81" s="217">
        <f>IFERROR(B25/Dashboard_2!$H$6,0)</f>
        <v>0</v>
      </c>
      <c r="C81" s="217">
        <f>IFERROR(C25/Dashboard_2!$H$6,0)</f>
        <v>0</v>
      </c>
      <c r="D81" s="217">
        <f>IFERROR(D25/Dashboard_2!$H$6,0)</f>
        <v>0</v>
      </c>
      <c r="E81" s="217">
        <f>IFERROR(E25/Dashboard_2!$H$6,0)</f>
        <v>0</v>
      </c>
      <c r="F81" s="217">
        <f>IFERROR(F25/Dashboard_2!$H$6,0)</f>
        <v>0</v>
      </c>
      <c r="G81" s="217">
        <f>IFERROR(G25/Dashboard_2!$H$6,0)</f>
        <v>0</v>
      </c>
      <c r="H81" s="217">
        <f>IFERROR(H25/Dashboard_2!$H$6,0)</f>
        <v>0</v>
      </c>
      <c r="I81" s="217">
        <f>IFERROR(I25/Dashboard_2!$H$6,0)</f>
        <v>0</v>
      </c>
      <c r="J81" s="217">
        <f>IFERROR(J25/Dashboard_2!$H$6,0)</f>
        <v>0</v>
      </c>
      <c r="K81" s="217">
        <f>IFERROR(K25/Dashboard_2!$H$6,0)</f>
        <v>0</v>
      </c>
      <c r="L81" s="217">
        <f>IFERROR(L25/Dashboard_2!$H$6,0)</f>
        <v>0</v>
      </c>
      <c r="M81" s="217">
        <f>IFERROR(M25/Dashboard_2!$H$6,0)</f>
        <v>0</v>
      </c>
      <c r="N81" s="217">
        <f>IFERROR(N25/Dashboard_2!$H$6,0)</f>
        <v>0</v>
      </c>
      <c r="O81" s="217">
        <f>IFERROR(O25/Dashboard_2!$H$6,0)</f>
        <v>0</v>
      </c>
      <c r="P81" s="217">
        <f>IFERROR(P25/Dashboard_2!$H$6,0)</f>
        <v>0</v>
      </c>
      <c r="Q81" s="217">
        <f>IFERROR(Q25/Dashboard_2!$H$6,0)</f>
        <v>0</v>
      </c>
      <c r="R81" s="217">
        <f>IFERROR(R25/Dashboard_2!$H$6,0)</f>
        <v>0</v>
      </c>
      <c r="S81" s="217">
        <f>IFERROR(S25/Dashboard_2!$H$6,0)</f>
        <v>0</v>
      </c>
      <c r="T81" s="217">
        <f>IFERROR(T25/Dashboard_2!$H$6,0)</f>
        <v>0</v>
      </c>
      <c r="U81" s="217">
        <f>IFERROR(U25/Dashboard_2!$H$6,0)</f>
        <v>0</v>
      </c>
      <c r="V81" s="217">
        <f>IFERROR(V25/Dashboard_2!$H$6,0)</f>
        <v>0</v>
      </c>
      <c r="W81" s="217">
        <f>IFERROR(W25/Dashboard_2!$H$6,0)</f>
        <v>0</v>
      </c>
      <c r="X81" s="217">
        <f>IFERROR(X25/Dashboard_2!$H$6,0)</f>
        <v>0</v>
      </c>
      <c r="Y81" s="217">
        <f>IFERROR(Y25/Dashboard_2!$H$6,0)</f>
        <v>0</v>
      </c>
      <c r="Z81" s="217">
        <f>IFERROR(Z25/Dashboard_2!$H$6,0)</f>
        <v>0</v>
      </c>
      <c r="AA81" s="217">
        <f>IFERROR(AA25/Dashboard_2!$H$6,0)</f>
        <v>0</v>
      </c>
      <c r="AB81" s="217">
        <f>IFERROR(AB25/Dashboard_2!$H$6,0)</f>
        <v>0</v>
      </c>
      <c r="AC81" s="217">
        <f>IFERROR(AC25/Dashboard_2!$H$6,0)</f>
        <v>0</v>
      </c>
      <c r="AD81" s="217">
        <f>IFERROR(AD25/Dashboard_2!$H$6,0)</f>
        <v>0</v>
      </c>
      <c r="AE81" s="217">
        <f>IFERROR(AE25/Dashboard_2!$H$6,0)</f>
        <v>0</v>
      </c>
      <c r="AF81" s="217">
        <f>IFERROR(AF25/Dashboard_2!$H$6,0)</f>
        <v>0</v>
      </c>
      <c r="AG81" s="217">
        <f>IFERROR(AG25/Dashboard_2!$H$6,0)</f>
        <v>0</v>
      </c>
      <c r="AH81" s="217">
        <f>IFERROR(AH25/Dashboard_2!$H$6,0)</f>
        <v>0</v>
      </c>
      <c r="AI81" s="217">
        <f>IFERROR(AI25/Dashboard_2!$H$6,0)</f>
        <v>0</v>
      </c>
      <c r="AJ81" s="217">
        <f>IFERROR(AJ25/Dashboard_2!$H$6,0)</f>
        <v>0</v>
      </c>
      <c r="AK81" s="217">
        <f>IFERROR(AK25/Dashboard_2!$H$6,0)</f>
        <v>0</v>
      </c>
      <c r="AL81" s="217">
        <f>IFERROR(AL25/Dashboard_2!$H$6,0)</f>
        <v>0</v>
      </c>
      <c r="AM81" s="217">
        <f>IFERROR(AM25/Dashboard_2!$H$6,0)</f>
        <v>0</v>
      </c>
      <c r="AN81" s="217">
        <f>IFERROR(AN25/Dashboard_2!$H$6,0)</f>
        <v>0</v>
      </c>
      <c r="AO81" s="217">
        <f>IFERROR(AO25/Dashboard_2!$H$6,0)</f>
        <v>0</v>
      </c>
      <c r="AP81" s="217">
        <f>IFERROR(AP25/Dashboard_2!$H$6,0)</f>
        <v>0</v>
      </c>
      <c r="AQ81" s="217">
        <f>IFERROR(AQ25/Dashboard_2!$H$6,0)</f>
        <v>0</v>
      </c>
      <c r="AR81" s="217">
        <f>IFERROR(AR25/Dashboard_2!$H$6,0)</f>
        <v>0</v>
      </c>
      <c r="AS81" s="217">
        <f>IFERROR(AS25/Dashboard_2!$H$6,0)</f>
        <v>0</v>
      </c>
      <c r="AT81" s="217">
        <f>IFERROR(AT25/Dashboard_2!$H$6,0)</f>
        <v>0</v>
      </c>
      <c r="AU81" s="217">
        <f>IFERROR(AU25/Dashboard_2!$H$6,0)</f>
        <v>0</v>
      </c>
      <c r="AV81" s="217">
        <f>IFERROR(AV25/Dashboard_2!$H$6,0)</f>
        <v>0</v>
      </c>
      <c r="AW81" s="217">
        <f>IFERROR(AW25/Dashboard_2!$H$6,0)</f>
        <v>0</v>
      </c>
      <c r="AX81" s="217">
        <f>IFERROR(AX25/Dashboard_2!$H$6,0)</f>
        <v>0</v>
      </c>
      <c r="AY81" s="217">
        <f>IFERROR(AY25/Dashboard_2!$H$6,0)</f>
        <v>0</v>
      </c>
      <c r="AZ81" s="180"/>
      <c r="BA81" s="180"/>
    </row>
    <row r="82" spans="1:53" x14ac:dyDescent="0.45">
      <c r="A82" s="41" t="str">
        <f t="shared" si="2"/>
        <v>User specified cost item 5 ($/tree per annum)</v>
      </c>
      <c r="B82" s="217">
        <f>IFERROR(B26/Dashboard_2!$H$6,0)</f>
        <v>0</v>
      </c>
      <c r="C82" s="217">
        <f>IFERROR(C26/Dashboard_2!$H$6,0)</f>
        <v>0</v>
      </c>
      <c r="D82" s="217">
        <f>IFERROR(D26/Dashboard_2!$H$6,0)</f>
        <v>0</v>
      </c>
      <c r="E82" s="217">
        <f>IFERROR(E26/Dashboard_2!$H$6,0)</f>
        <v>0</v>
      </c>
      <c r="F82" s="217">
        <f>IFERROR(F26/Dashboard_2!$H$6,0)</f>
        <v>0</v>
      </c>
      <c r="G82" s="217">
        <f>IFERROR(G26/Dashboard_2!$H$6,0)</f>
        <v>0</v>
      </c>
      <c r="H82" s="217">
        <f>IFERROR(H26/Dashboard_2!$H$6,0)</f>
        <v>0</v>
      </c>
      <c r="I82" s="217">
        <f>IFERROR(I26/Dashboard_2!$H$6,0)</f>
        <v>0</v>
      </c>
      <c r="J82" s="217">
        <f>IFERROR(J26/Dashboard_2!$H$6,0)</f>
        <v>0</v>
      </c>
      <c r="K82" s="217">
        <f>IFERROR(K26/Dashboard_2!$H$6,0)</f>
        <v>0</v>
      </c>
      <c r="L82" s="217">
        <f>IFERROR(L26/Dashboard_2!$H$6,0)</f>
        <v>0</v>
      </c>
      <c r="M82" s="217">
        <f>IFERROR(M26/Dashboard_2!$H$6,0)</f>
        <v>0</v>
      </c>
      <c r="N82" s="217">
        <f>IFERROR(N26/Dashboard_2!$H$6,0)</f>
        <v>0</v>
      </c>
      <c r="O82" s="217">
        <f>IFERROR(O26/Dashboard_2!$H$6,0)</f>
        <v>0</v>
      </c>
      <c r="P82" s="217">
        <f>IFERROR(P26/Dashboard_2!$H$6,0)</f>
        <v>0</v>
      </c>
      <c r="Q82" s="217">
        <f>IFERROR(Q26/Dashboard_2!$H$6,0)</f>
        <v>0</v>
      </c>
      <c r="R82" s="217">
        <f>IFERROR(R26/Dashboard_2!$H$6,0)</f>
        <v>0</v>
      </c>
      <c r="S82" s="217">
        <f>IFERROR(S26/Dashboard_2!$H$6,0)</f>
        <v>0</v>
      </c>
      <c r="T82" s="217">
        <f>IFERROR(T26/Dashboard_2!$H$6,0)</f>
        <v>0</v>
      </c>
      <c r="U82" s="217">
        <f>IFERROR(U26/Dashboard_2!$H$6,0)</f>
        <v>0</v>
      </c>
      <c r="V82" s="217">
        <f>IFERROR(V26/Dashboard_2!$H$6,0)</f>
        <v>0</v>
      </c>
      <c r="W82" s="217">
        <f>IFERROR(W26/Dashboard_2!$H$6,0)</f>
        <v>0</v>
      </c>
      <c r="X82" s="217">
        <f>IFERROR(X26/Dashboard_2!$H$6,0)</f>
        <v>0</v>
      </c>
      <c r="Y82" s="217">
        <f>IFERROR(Y26/Dashboard_2!$H$6,0)</f>
        <v>0</v>
      </c>
      <c r="Z82" s="217">
        <f>IFERROR(Z26/Dashboard_2!$H$6,0)</f>
        <v>0</v>
      </c>
      <c r="AA82" s="217">
        <f>IFERROR(AA26/Dashboard_2!$H$6,0)</f>
        <v>0</v>
      </c>
      <c r="AB82" s="217">
        <f>IFERROR(AB26/Dashboard_2!$H$6,0)</f>
        <v>0</v>
      </c>
      <c r="AC82" s="217">
        <f>IFERROR(AC26/Dashboard_2!$H$6,0)</f>
        <v>0</v>
      </c>
      <c r="AD82" s="217">
        <f>IFERROR(AD26/Dashboard_2!$H$6,0)</f>
        <v>0</v>
      </c>
      <c r="AE82" s="217">
        <f>IFERROR(AE26/Dashboard_2!$H$6,0)</f>
        <v>0</v>
      </c>
      <c r="AF82" s="217">
        <f>IFERROR(AF26/Dashboard_2!$H$6,0)</f>
        <v>0</v>
      </c>
      <c r="AG82" s="217">
        <f>IFERROR(AG26/Dashboard_2!$H$6,0)</f>
        <v>0</v>
      </c>
      <c r="AH82" s="217">
        <f>IFERROR(AH26/Dashboard_2!$H$6,0)</f>
        <v>0</v>
      </c>
      <c r="AI82" s="217">
        <f>IFERROR(AI26/Dashboard_2!$H$6,0)</f>
        <v>0</v>
      </c>
      <c r="AJ82" s="217">
        <f>IFERROR(AJ26/Dashboard_2!$H$6,0)</f>
        <v>0</v>
      </c>
      <c r="AK82" s="217">
        <f>IFERROR(AK26/Dashboard_2!$H$6,0)</f>
        <v>0</v>
      </c>
      <c r="AL82" s="217">
        <f>IFERROR(AL26/Dashboard_2!$H$6,0)</f>
        <v>0</v>
      </c>
      <c r="AM82" s="217">
        <f>IFERROR(AM26/Dashboard_2!$H$6,0)</f>
        <v>0</v>
      </c>
      <c r="AN82" s="217">
        <f>IFERROR(AN26/Dashboard_2!$H$6,0)</f>
        <v>0</v>
      </c>
      <c r="AO82" s="217">
        <f>IFERROR(AO26/Dashboard_2!$H$6,0)</f>
        <v>0</v>
      </c>
      <c r="AP82" s="217">
        <f>IFERROR(AP26/Dashboard_2!$H$6,0)</f>
        <v>0</v>
      </c>
      <c r="AQ82" s="217">
        <f>IFERROR(AQ26/Dashboard_2!$H$6,0)</f>
        <v>0</v>
      </c>
      <c r="AR82" s="217">
        <f>IFERROR(AR26/Dashboard_2!$H$6,0)</f>
        <v>0</v>
      </c>
      <c r="AS82" s="217">
        <f>IFERROR(AS26/Dashboard_2!$H$6,0)</f>
        <v>0</v>
      </c>
      <c r="AT82" s="217">
        <f>IFERROR(AT26/Dashboard_2!$H$6,0)</f>
        <v>0</v>
      </c>
      <c r="AU82" s="217">
        <f>IFERROR(AU26/Dashboard_2!$H$6,0)</f>
        <v>0</v>
      </c>
      <c r="AV82" s="217">
        <f>IFERROR(AV26/Dashboard_2!$H$6,0)</f>
        <v>0</v>
      </c>
      <c r="AW82" s="217">
        <f>IFERROR(AW26/Dashboard_2!$H$6,0)</f>
        <v>0</v>
      </c>
      <c r="AX82" s="217">
        <f>IFERROR(AX26/Dashboard_2!$H$6,0)</f>
        <v>0</v>
      </c>
      <c r="AY82" s="217">
        <f>IFERROR(AY26/Dashboard_2!$H$6,0)</f>
        <v>0</v>
      </c>
      <c r="AZ82" s="180"/>
      <c r="BA82" s="180"/>
    </row>
    <row r="83" spans="1:53" x14ac:dyDescent="0.45">
      <c r="A83" s="281" t="s">
        <v>298</v>
      </c>
      <c r="B83" s="283">
        <f>SUM(B61:B82)</f>
        <v>416.93446377960333</v>
      </c>
      <c r="C83" s="283">
        <f t="shared" ref="C83:AY83" si="3">SUM(C61:C82)</f>
        <v>477.51196377960326</v>
      </c>
      <c r="D83" s="283">
        <f t="shared" si="3"/>
        <v>530.38466690460325</v>
      </c>
      <c r="E83" s="283">
        <f t="shared" si="3"/>
        <v>584.57918760772839</v>
      </c>
      <c r="F83" s="283">
        <f t="shared" si="3"/>
        <v>640.12857132843146</v>
      </c>
      <c r="G83" s="283">
        <f t="shared" si="3"/>
        <v>697.06668964215203</v>
      </c>
      <c r="H83" s="283">
        <f t="shared" si="3"/>
        <v>805.93290927688713</v>
      </c>
      <c r="I83" s="283">
        <f t="shared" si="3"/>
        <v>917.52078440249056</v>
      </c>
      <c r="J83" s="283">
        <f t="shared" si="3"/>
        <v>1031.8983564062344</v>
      </c>
      <c r="K83" s="283">
        <f t="shared" si="3"/>
        <v>1149.135367710071</v>
      </c>
      <c r="L83" s="283">
        <f t="shared" si="3"/>
        <v>1269.3033042965042</v>
      </c>
      <c r="M83" s="283">
        <f t="shared" si="3"/>
        <v>1392.4754392975981</v>
      </c>
      <c r="N83" s="283">
        <f t="shared" si="3"/>
        <v>1518.7268776737194</v>
      </c>
      <c r="O83" s="283">
        <f t="shared" si="3"/>
        <v>1648.1346020092435</v>
      </c>
      <c r="P83" s="283">
        <f t="shared" si="3"/>
        <v>1780.7775194531559</v>
      </c>
      <c r="Q83" s="283">
        <f t="shared" si="3"/>
        <v>1916.7365098331659</v>
      </c>
      <c r="R83" s="283">
        <f t="shared" si="3"/>
        <v>2056.0944749726764</v>
      </c>
      <c r="S83" s="283">
        <f t="shared" si="3"/>
        <v>2198.9363892406741</v>
      </c>
      <c r="T83" s="283">
        <f t="shared" si="3"/>
        <v>2345.3493513653721</v>
      </c>
      <c r="U83" s="283">
        <f t="shared" si="3"/>
        <v>2495.4226375431881</v>
      </c>
      <c r="V83" s="283">
        <f t="shared" si="3"/>
        <v>2649.247755875449</v>
      </c>
      <c r="W83" s="283">
        <f t="shared" si="3"/>
        <v>2806.918502166016</v>
      </c>
      <c r="X83" s="283">
        <f t="shared" si="3"/>
        <v>2968.5310171138481</v>
      </c>
      <c r="Y83" s="283">
        <f t="shared" si="3"/>
        <v>3134.183844935375</v>
      </c>
      <c r="Z83" s="283">
        <f t="shared" si="3"/>
        <v>3303.9779934524404</v>
      </c>
      <c r="AA83" s="283">
        <f t="shared" si="3"/>
        <v>3478.0169956824329</v>
      </c>
      <c r="AB83" s="283">
        <f t="shared" si="3"/>
        <v>3656.4069729681751</v>
      </c>
      <c r="AC83" s="283">
        <f t="shared" si="3"/>
        <v>3839.2566996860601</v>
      </c>
      <c r="AD83" s="283">
        <f t="shared" si="3"/>
        <v>4026.6776695718922</v>
      </c>
      <c r="AE83" s="283">
        <f t="shared" si="3"/>
        <v>4218.7841637048696</v>
      </c>
      <c r="AF83" s="283">
        <f t="shared" si="3"/>
        <v>4415.6933201911743</v>
      </c>
      <c r="AG83" s="283">
        <f t="shared" si="3"/>
        <v>4617.5252055896335</v>
      </c>
      <c r="AH83" s="283">
        <f t="shared" si="3"/>
        <v>4824.4028881230552</v>
      </c>
      <c r="AI83" s="283">
        <f t="shared" si="3"/>
        <v>5036.452512719814</v>
      </c>
      <c r="AJ83" s="283">
        <f t="shared" si="3"/>
        <v>5253.8033779314892</v>
      </c>
      <c r="AK83" s="283">
        <f t="shared" si="3"/>
        <v>5476.5880147734579</v>
      </c>
      <c r="AL83" s="283">
        <f t="shared" si="3"/>
        <v>5704.9422675364758</v>
      </c>
      <c r="AM83" s="283">
        <f t="shared" si="3"/>
        <v>5939.0053766185683</v>
      </c>
      <c r="AN83" s="283">
        <f t="shared" si="3"/>
        <v>6178.9200634277122</v>
      </c>
      <c r="AO83" s="283">
        <f t="shared" si="3"/>
        <v>6424.8326174070871</v>
      </c>
      <c r="AP83" s="283">
        <f t="shared" si="3"/>
        <v>6676.8929852359443</v>
      </c>
      <c r="AQ83" s="283">
        <f t="shared" si="3"/>
        <v>6935.2548622605245</v>
      </c>
      <c r="AR83" s="283">
        <f t="shared" si="3"/>
        <v>7200.0757862107184</v>
      </c>
      <c r="AS83" s="283">
        <f t="shared" si="3"/>
        <v>7471.5172332596685</v>
      </c>
      <c r="AT83" s="283">
        <f t="shared" si="3"/>
        <v>7749.744716484839</v>
      </c>
      <c r="AU83" s="283">
        <f t="shared" si="3"/>
        <v>8034.9278867906414</v>
      </c>
      <c r="AV83" s="283">
        <f t="shared" si="3"/>
        <v>8327.2406363540886</v>
      </c>
      <c r="AW83" s="283">
        <f t="shared" si="3"/>
        <v>8626.8612046566213</v>
      </c>
      <c r="AX83" s="283">
        <f t="shared" si="3"/>
        <v>8933.9722871667182</v>
      </c>
      <c r="AY83" s="283">
        <f t="shared" si="3"/>
        <v>9248.7611467395673</v>
      </c>
    </row>
    <row r="84" spans="1:53" x14ac:dyDescent="0.45">
      <c r="A84" s="41"/>
    </row>
    <row r="85" spans="1:53" x14ac:dyDescent="0.45">
      <c r="A85" s="41"/>
    </row>
    <row r="86" spans="1:53" x14ac:dyDescent="0.45">
      <c r="A86" s="41"/>
    </row>
    <row r="87" spans="1:53" x14ac:dyDescent="0.45">
      <c r="A87" s="41"/>
    </row>
    <row r="88" spans="1:53" x14ac:dyDescent="0.45">
      <c r="A88" s="41"/>
    </row>
    <row r="89" spans="1:53" x14ac:dyDescent="0.45">
      <c r="A89" s="41"/>
    </row>
    <row r="90" spans="1:53" x14ac:dyDescent="0.45">
      <c r="A90" s="41"/>
    </row>
    <row r="91" spans="1:53" x14ac:dyDescent="0.45"/>
    <row r="92" spans="1:53" x14ac:dyDescent="0.45"/>
    <row r="93" spans="1:53" x14ac:dyDescent="0.45"/>
    <row r="94" spans="1:53" x14ac:dyDescent="0.45"/>
    <row r="95" spans="1:53" x14ac:dyDescent="0.45"/>
    <row r="96" spans="1:53" x14ac:dyDescent="0.45"/>
    <row r="97" x14ac:dyDescent="0.45"/>
    <row r="98" x14ac:dyDescent="0.45"/>
    <row r="99" x14ac:dyDescent="0.45"/>
    <row r="100" x14ac:dyDescent="0.45"/>
    <row r="101" x14ac:dyDescent="0.45"/>
    <row r="102" x14ac:dyDescent="0.45"/>
    <row r="103" x14ac:dyDescent="0.45"/>
    <row r="104" x14ac:dyDescent="0.45"/>
    <row r="105" x14ac:dyDescent="0.45"/>
    <row r="106" x14ac:dyDescent="0.45"/>
    <row r="107" x14ac:dyDescent="0.45"/>
    <row r="108" x14ac:dyDescent="0.45"/>
    <row r="109" x14ac:dyDescent="0.45"/>
    <row r="110" x14ac:dyDescent="0.45"/>
    <row r="111" x14ac:dyDescent="0.45"/>
    <row r="112" x14ac:dyDescent="0.45"/>
    <row r="113" x14ac:dyDescent="0.45"/>
    <row r="114" x14ac:dyDescent="0.45"/>
  </sheetData>
  <sheetProtection algorithmName="SHA-512" hashValue="MqdypkSpaSVf8O+M0oSk5Q0hi7m5LeMCigawENT1/75bRVJDsiScYF2ZimguwPj5m1/UG/aCu73v8J0/vVLmBQ==" saltValue="vBPDL4ilTqvMi2igz+gIGQ==" spinCount="100000"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7ED6-E6BB-48E8-B193-0F35EB1324AC}">
  <sheetPr published="0">
    <tabColor theme="6"/>
  </sheetPr>
  <dimension ref="A1:BB104"/>
  <sheetViews>
    <sheetView tabSelected="1" zoomScale="85" zoomScaleNormal="85" workbookViewId="0">
      <selection activeCell="C11" sqref="C11"/>
    </sheetView>
  </sheetViews>
  <sheetFormatPr defaultColWidth="0" defaultRowHeight="14.25" zeroHeight="1" x14ac:dyDescent="0.45"/>
  <cols>
    <col min="1" max="1" width="31.73046875" bestFit="1" customWidth="1"/>
    <col min="2" max="51" width="15.73046875" customWidth="1"/>
    <col min="52" max="52" width="9.1328125" customWidth="1"/>
    <col min="53" max="54" width="0" hidden="1" customWidth="1"/>
    <col min="55" max="16384" width="9.1328125" hidden="1"/>
  </cols>
  <sheetData>
    <row r="1" spans="1:54" x14ac:dyDescent="0.45">
      <c r="A1" t="s">
        <v>390</v>
      </c>
    </row>
    <row r="2" spans="1:54" x14ac:dyDescent="0.45"/>
    <row r="3" spans="1:54" x14ac:dyDescent="0.45">
      <c r="A3" s="45" t="s">
        <v>210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1:54" x14ac:dyDescent="0.45">
      <c r="B4" s="40" t="str">
        <f>Model_2!B56</f>
        <v>Year 1</v>
      </c>
      <c r="C4" s="40" t="str">
        <f>Model_2!C56</f>
        <v>Year 2</v>
      </c>
      <c r="D4" s="40" t="str">
        <f>Model_2!D56</f>
        <v>Year 3</v>
      </c>
      <c r="E4" s="40" t="str">
        <f>Model_2!E56</f>
        <v>Year 4</v>
      </c>
      <c r="F4" s="40" t="str">
        <f>Model_2!F56</f>
        <v>Year 5</v>
      </c>
      <c r="G4" s="40" t="str">
        <f>Model_2!G56</f>
        <v>Year 6</v>
      </c>
      <c r="H4" s="40" t="str">
        <f>Model_2!H56</f>
        <v>Year 7</v>
      </c>
      <c r="I4" s="40" t="str">
        <f>Model_2!I56</f>
        <v>Year 8</v>
      </c>
      <c r="J4" s="40" t="str">
        <f>Model_2!J56</f>
        <v>Year 9</v>
      </c>
      <c r="K4" s="40" t="str">
        <f>Model_2!K56</f>
        <v>Year 10</v>
      </c>
      <c r="L4" s="40" t="str">
        <f>Model_2!L56</f>
        <v>Year 11</v>
      </c>
      <c r="M4" s="40" t="str">
        <f>Model_2!M56</f>
        <v>Year 12</v>
      </c>
      <c r="N4" s="40" t="str">
        <f>Model_2!N56</f>
        <v>Year 13</v>
      </c>
      <c r="O4" s="40" t="str">
        <f>Model_2!O56</f>
        <v>Year 14</v>
      </c>
      <c r="P4" s="40" t="str">
        <f>Model_2!P56</f>
        <v>Year 15</v>
      </c>
      <c r="Q4" s="40" t="str">
        <f>Model_2!Q56</f>
        <v>Year 16</v>
      </c>
      <c r="R4" s="40" t="str">
        <f>Model_2!R56</f>
        <v>Year 17</v>
      </c>
      <c r="S4" s="40" t="str">
        <f>Model_2!S56</f>
        <v>Year 18</v>
      </c>
      <c r="T4" s="40" t="str">
        <f>Model_2!T56</f>
        <v>Year 19</v>
      </c>
      <c r="U4" s="40" t="str">
        <f>Model_2!U56</f>
        <v>Year 20</v>
      </c>
      <c r="V4" s="40" t="str">
        <f>Model_2!V56</f>
        <v>Year 21</v>
      </c>
      <c r="W4" s="40" t="str">
        <f>Model_2!W56</f>
        <v>Year 22</v>
      </c>
      <c r="X4" s="40" t="str">
        <f>Model_2!X56</f>
        <v>Year 23</v>
      </c>
      <c r="Y4" s="40" t="str">
        <f>Model_2!Y56</f>
        <v>Year 24</v>
      </c>
      <c r="Z4" s="40" t="str">
        <f>Model_2!Z56</f>
        <v>Year 25</v>
      </c>
      <c r="AA4" s="40" t="str">
        <f>Model_2!AA56</f>
        <v>Year 26</v>
      </c>
      <c r="AB4" s="40" t="str">
        <f>Model_2!AB56</f>
        <v>Year 27</v>
      </c>
      <c r="AC4" s="40" t="str">
        <f>Model_2!AC56</f>
        <v>Year 28</v>
      </c>
      <c r="AD4" s="40" t="str">
        <f>Model_2!AD56</f>
        <v>Year 29</v>
      </c>
      <c r="AE4" s="40" t="str">
        <f>Model_2!AE56</f>
        <v>Year 30</v>
      </c>
      <c r="AF4" s="40" t="str">
        <f>Model_2!AF56</f>
        <v>Year 31</v>
      </c>
      <c r="AG4" s="40" t="str">
        <f>Model_2!AG56</f>
        <v>Year 32</v>
      </c>
      <c r="AH4" s="40" t="str">
        <f>Model_2!AH56</f>
        <v>Year 33</v>
      </c>
      <c r="AI4" s="40" t="str">
        <f>Model_2!AI56</f>
        <v>Year 34</v>
      </c>
      <c r="AJ4" s="40" t="str">
        <f>Model_2!AJ56</f>
        <v>Year 35</v>
      </c>
      <c r="AK4" s="40" t="str">
        <f>Model_2!AK56</f>
        <v>Year 36</v>
      </c>
      <c r="AL4" s="40" t="str">
        <f>Model_2!AL56</f>
        <v>Year 37</v>
      </c>
      <c r="AM4" s="40" t="str">
        <f>Model_2!AM56</f>
        <v>Year 38</v>
      </c>
      <c r="AN4" s="40" t="str">
        <f>Model_2!AN56</f>
        <v>Year 39</v>
      </c>
      <c r="AO4" s="40" t="str">
        <f>Model_2!AO56</f>
        <v>Year 40</v>
      </c>
      <c r="AP4" s="40" t="str">
        <f>Model_2!AP56</f>
        <v>Year 41</v>
      </c>
      <c r="AQ4" s="40" t="str">
        <f>Model_2!AQ56</f>
        <v>Year 42</v>
      </c>
      <c r="AR4" s="40" t="str">
        <f>Model_2!AR56</f>
        <v>Year 43</v>
      </c>
      <c r="AS4" s="40" t="str">
        <f>Model_2!AS56</f>
        <v>Year 44</v>
      </c>
      <c r="AT4" s="40" t="str">
        <f>Model_2!AT56</f>
        <v>Year 45</v>
      </c>
      <c r="AU4" s="40" t="str">
        <f>Model_2!AU56</f>
        <v>Year 46</v>
      </c>
      <c r="AV4" s="40" t="str">
        <f>Model_2!AV56</f>
        <v>Year 47</v>
      </c>
      <c r="AW4" s="40" t="str">
        <f>Model_2!AW56</f>
        <v>Year 48</v>
      </c>
      <c r="AX4" s="40" t="str">
        <f>Model_2!AX56</f>
        <v>Year 49</v>
      </c>
      <c r="AY4" s="40" t="str">
        <f>Model_2!AY56</f>
        <v>Year 50</v>
      </c>
      <c r="AZ4" s="42"/>
      <c r="BA4" s="42"/>
      <c r="BB4" s="42"/>
    </row>
    <row r="5" spans="1:54" x14ac:dyDescent="0.45">
      <c r="A5" s="41" t="str">
        <f>Model_3!A49</f>
        <v>Direct seeding ($)</v>
      </c>
      <c r="B5" s="41">
        <f>Model_3!B49</f>
        <v>0</v>
      </c>
      <c r="C5" s="41">
        <f>B5+Model_3!C49</f>
        <v>0</v>
      </c>
      <c r="D5" s="41">
        <f>C5+Model_3!D49</f>
        <v>0</v>
      </c>
      <c r="E5" s="41">
        <f>D5+Model_3!E49</f>
        <v>0</v>
      </c>
      <c r="F5" s="41">
        <f>E5+Model_3!F49</f>
        <v>0</v>
      </c>
      <c r="G5" s="41">
        <f>F5+Model_3!G49</f>
        <v>0</v>
      </c>
      <c r="H5" s="41">
        <f>G5+Model_3!H49</f>
        <v>0</v>
      </c>
      <c r="I5" s="41">
        <f>H5+Model_3!I49</f>
        <v>0</v>
      </c>
      <c r="J5" s="41">
        <f>I5+Model_3!J49</f>
        <v>0</v>
      </c>
      <c r="K5" s="41">
        <f>J5+Model_3!K49</f>
        <v>0</v>
      </c>
      <c r="L5" s="41">
        <f>K5+Model_3!L49</f>
        <v>0</v>
      </c>
      <c r="M5" s="41">
        <f>L5+Model_3!M49</f>
        <v>0</v>
      </c>
      <c r="N5" s="41">
        <f>M5+Model_3!N49</f>
        <v>0</v>
      </c>
      <c r="O5" s="41">
        <f>N5+Model_3!O49</f>
        <v>0</v>
      </c>
      <c r="P5" s="41">
        <f>O5+Model_3!P49</f>
        <v>0</v>
      </c>
      <c r="Q5" s="41">
        <f>P5+Model_3!Q49</f>
        <v>0</v>
      </c>
      <c r="R5" s="41">
        <f>Q5+Model_3!R49</f>
        <v>0</v>
      </c>
      <c r="S5" s="41">
        <f>R5+Model_3!S49</f>
        <v>0</v>
      </c>
      <c r="T5" s="41">
        <f>S5+Model_3!T49</f>
        <v>0</v>
      </c>
      <c r="U5" s="41">
        <f>T5+Model_3!U49</f>
        <v>0</v>
      </c>
      <c r="V5" s="41">
        <f>U5+Model_3!V49</f>
        <v>0</v>
      </c>
      <c r="W5" s="41">
        <f>V5+Model_3!W49</f>
        <v>0</v>
      </c>
      <c r="X5" s="41">
        <f>W5+Model_3!X49</f>
        <v>0</v>
      </c>
      <c r="Y5" s="41">
        <f>X5+Model_3!Y49</f>
        <v>0</v>
      </c>
      <c r="Z5" s="41">
        <f>Y5+Model_3!Z49</f>
        <v>0</v>
      </c>
      <c r="AA5" s="41">
        <f>Z5+Model_3!AA49</f>
        <v>0</v>
      </c>
      <c r="AB5" s="41">
        <f>AA5+Model_3!AB49</f>
        <v>0</v>
      </c>
      <c r="AC5" s="41">
        <f>AB5+Model_3!AC49</f>
        <v>0</v>
      </c>
      <c r="AD5" s="41">
        <f>AC5+Model_3!AD49</f>
        <v>0</v>
      </c>
      <c r="AE5" s="41">
        <f>AD5+Model_3!AE49</f>
        <v>0</v>
      </c>
      <c r="AF5" s="41">
        <f>AE5+Model_3!AF49</f>
        <v>0</v>
      </c>
      <c r="AG5" s="41">
        <f>AF5+Model_3!AG49</f>
        <v>0</v>
      </c>
      <c r="AH5" s="41">
        <f>AG5+Model_3!AH49</f>
        <v>0</v>
      </c>
      <c r="AI5" s="41">
        <f>AH5+Model_3!AI49</f>
        <v>0</v>
      </c>
      <c r="AJ5" s="41">
        <f>AI5+Model_3!AJ49</f>
        <v>0</v>
      </c>
      <c r="AK5" s="41">
        <f>AJ5+Model_3!AK49</f>
        <v>0</v>
      </c>
      <c r="AL5" s="41">
        <f>AK5+Model_3!AL49</f>
        <v>0</v>
      </c>
      <c r="AM5" s="41">
        <f>AL5+Model_3!AM49</f>
        <v>0</v>
      </c>
      <c r="AN5" s="41">
        <f>AM5+Model_3!AN49</f>
        <v>0</v>
      </c>
      <c r="AO5" s="41">
        <f>AN5+Model_3!AO49</f>
        <v>0</v>
      </c>
      <c r="AP5" s="41">
        <f>AO5+Model_3!AP49</f>
        <v>0</v>
      </c>
      <c r="AQ5" s="41">
        <f>AP5+Model_3!AQ49</f>
        <v>0</v>
      </c>
      <c r="AR5" s="41">
        <f>AQ5+Model_3!AR49</f>
        <v>0</v>
      </c>
      <c r="AS5" s="41">
        <f>AR5+Model_3!AS49</f>
        <v>0</v>
      </c>
      <c r="AT5" s="41">
        <f>AS5+Model_3!AT49</f>
        <v>0</v>
      </c>
      <c r="AU5" s="41">
        <f>AT5+Model_3!AU49</f>
        <v>0</v>
      </c>
      <c r="AV5" s="41">
        <f>AU5+Model_3!AV49</f>
        <v>0</v>
      </c>
      <c r="AW5" s="41">
        <f>AV5+Model_3!AW49</f>
        <v>0</v>
      </c>
      <c r="AX5" s="41">
        <f>AW5+Model_3!AX49</f>
        <v>0</v>
      </c>
      <c r="AY5" s="41">
        <f>AX5+Model_3!AY49</f>
        <v>0</v>
      </c>
      <c r="AZ5" s="41"/>
      <c r="BA5" s="41"/>
      <c r="BB5" s="41"/>
    </row>
    <row r="6" spans="1:54" x14ac:dyDescent="0.45">
      <c r="A6" s="41" t="str">
        <f>Model_3!A50</f>
        <v>Tubestock supply and planting ($)</v>
      </c>
      <c r="B6" s="41">
        <f>Model_3!B50</f>
        <v>15000</v>
      </c>
      <c r="C6" s="41">
        <f>B6+Model_3!C50</f>
        <v>15000</v>
      </c>
      <c r="D6" s="41">
        <f>C6+Model_3!D50</f>
        <v>15000</v>
      </c>
      <c r="E6" s="41">
        <f>D6+Model_3!E50</f>
        <v>15000</v>
      </c>
      <c r="F6" s="41">
        <f>E6+Model_3!F50</f>
        <v>15000</v>
      </c>
      <c r="G6" s="41">
        <f>F6+Model_3!G50</f>
        <v>15000</v>
      </c>
      <c r="H6" s="41">
        <f>G6+Model_3!H50</f>
        <v>15000</v>
      </c>
      <c r="I6" s="41">
        <f>H6+Model_3!I50</f>
        <v>15000</v>
      </c>
      <c r="J6" s="41">
        <f>I6+Model_3!J50</f>
        <v>15000</v>
      </c>
      <c r="K6" s="41">
        <f>J6+Model_3!K50</f>
        <v>15000</v>
      </c>
      <c r="L6" s="41">
        <f>K6+Model_3!L50</f>
        <v>15000</v>
      </c>
      <c r="M6" s="41">
        <f>L6+Model_3!M50</f>
        <v>15000</v>
      </c>
      <c r="N6" s="41">
        <f>M6+Model_3!N50</f>
        <v>15000</v>
      </c>
      <c r="O6" s="41">
        <f>N6+Model_3!O50</f>
        <v>15000</v>
      </c>
      <c r="P6" s="41">
        <f>O6+Model_3!P50</f>
        <v>15000</v>
      </c>
      <c r="Q6" s="41">
        <f>P6+Model_3!Q50</f>
        <v>15000</v>
      </c>
      <c r="R6" s="41">
        <f>Q6+Model_3!R50</f>
        <v>15000</v>
      </c>
      <c r="S6" s="41">
        <f>R6+Model_3!S50</f>
        <v>15000</v>
      </c>
      <c r="T6" s="41">
        <f>S6+Model_3!T50</f>
        <v>15000</v>
      </c>
      <c r="U6" s="41">
        <f>T6+Model_3!U50</f>
        <v>15000</v>
      </c>
      <c r="V6" s="41">
        <f>U6+Model_3!V50</f>
        <v>15000</v>
      </c>
      <c r="W6" s="41">
        <f>V6+Model_3!W50</f>
        <v>15000</v>
      </c>
      <c r="X6" s="41">
        <f>W6+Model_3!X50</f>
        <v>15000</v>
      </c>
      <c r="Y6" s="41">
        <f>X6+Model_3!Y50</f>
        <v>15000</v>
      </c>
      <c r="Z6" s="41">
        <f>Y6+Model_3!Z50</f>
        <v>15000</v>
      </c>
      <c r="AA6" s="41">
        <f>Z6+Model_3!AA50</f>
        <v>15000</v>
      </c>
      <c r="AB6" s="41">
        <f>AA6+Model_3!AB50</f>
        <v>15000</v>
      </c>
      <c r="AC6" s="41">
        <f>AB6+Model_3!AC50</f>
        <v>15000</v>
      </c>
      <c r="AD6" s="41">
        <f>AC6+Model_3!AD50</f>
        <v>15000</v>
      </c>
      <c r="AE6" s="41">
        <f>AD6+Model_3!AE50</f>
        <v>15000</v>
      </c>
      <c r="AF6" s="41">
        <f>AE6+Model_3!AF50</f>
        <v>15000</v>
      </c>
      <c r="AG6" s="41">
        <f>AF6+Model_3!AG50</f>
        <v>15000</v>
      </c>
      <c r="AH6" s="41">
        <f>AG6+Model_3!AH50</f>
        <v>15000</v>
      </c>
      <c r="AI6" s="41">
        <f>AH6+Model_3!AI50</f>
        <v>15000</v>
      </c>
      <c r="AJ6" s="41">
        <f>AI6+Model_3!AJ50</f>
        <v>15000</v>
      </c>
      <c r="AK6" s="41">
        <f>AJ6+Model_3!AK50</f>
        <v>15000</v>
      </c>
      <c r="AL6" s="41">
        <f>AK6+Model_3!AL50</f>
        <v>15000</v>
      </c>
      <c r="AM6" s="41">
        <f>AL6+Model_3!AM50</f>
        <v>15000</v>
      </c>
      <c r="AN6" s="41">
        <f>AM6+Model_3!AN50</f>
        <v>15000</v>
      </c>
      <c r="AO6" s="41">
        <f>AN6+Model_3!AO50</f>
        <v>15000</v>
      </c>
      <c r="AP6" s="41">
        <f>AO6+Model_3!AP50</f>
        <v>15000</v>
      </c>
      <c r="AQ6" s="41">
        <f>AP6+Model_3!AQ50</f>
        <v>15000</v>
      </c>
      <c r="AR6" s="41">
        <f>AQ6+Model_3!AR50</f>
        <v>15000</v>
      </c>
      <c r="AS6" s="41">
        <f>AR6+Model_3!AS50</f>
        <v>15000</v>
      </c>
      <c r="AT6" s="41">
        <f>AS6+Model_3!AT50</f>
        <v>15000</v>
      </c>
      <c r="AU6" s="41">
        <f>AT6+Model_3!AU50</f>
        <v>15000</v>
      </c>
      <c r="AV6" s="41">
        <f>AU6+Model_3!AV50</f>
        <v>15000</v>
      </c>
      <c r="AW6" s="41">
        <f>AV6+Model_3!AW50</f>
        <v>15000</v>
      </c>
      <c r="AX6" s="41">
        <f>AW6+Model_3!AX50</f>
        <v>15000</v>
      </c>
      <c r="AY6" s="41">
        <f>AX6+Model_3!AY50</f>
        <v>15000</v>
      </c>
      <c r="AZ6" s="41"/>
      <c r="BA6" s="41"/>
      <c r="BB6" s="41"/>
    </row>
    <row r="7" spans="1:54" x14ac:dyDescent="0.45">
      <c r="A7" s="41" t="str">
        <f>Model_3!A51</f>
        <v>Tubestock tree guards / protection sleeve</v>
      </c>
      <c r="B7" s="41">
        <f>Model_3!B51</f>
        <v>2500</v>
      </c>
      <c r="C7" s="41">
        <f>B7+Model_3!C51</f>
        <v>2500</v>
      </c>
      <c r="D7" s="41">
        <f>C7+Model_3!D51</f>
        <v>2500</v>
      </c>
      <c r="E7" s="41">
        <f>D7+Model_3!E51</f>
        <v>2500</v>
      </c>
      <c r="F7" s="41">
        <f>E7+Model_3!F51</f>
        <v>2500</v>
      </c>
      <c r="G7" s="41">
        <f>F7+Model_3!G51</f>
        <v>2500</v>
      </c>
      <c r="H7" s="41">
        <f>G7+Model_3!H51</f>
        <v>2500</v>
      </c>
      <c r="I7" s="41">
        <f>H7+Model_3!I51</f>
        <v>2500</v>
      </c>
      <c r="J7" s="41">
        <f>I7+Model_3!J51</f>
        <v>2500</v>
      </c>
      <c r="K7" s="41">
        <f>J7+Model_3!K51</f>
        <v>2500</v>
      </c>
      <c r="L7" s="41">
        <f>K7+Model_3!L51</f>
        <v>2500</v>
      </c>
      <c r="M7" s="41">
        <f>L7+Model_3!M51</f>
        <v>2500</v>
      </c>
      <c r="N7" s="41">
        <f>M7+Model_3!N51</f>
        <v>2500</v>
      </c>
      <c r="O7" s="41">
        <f>N7+Model_3!O51</f>
        <v>2500</v>
      </c>
      <c r="P7" s="41">
        <f>O7+Model_3!P51</f>
        <v>2500</v>
      </c>
      <c r="Q7" s="41">
        <f>P7+Model_3!Q51</f>
        <v>2500</v>
      </c>
      <c r="R7" s="41">
        <f>Q7+Model_3!R51</f>
        <v>2500</v>
      </c>
      <c r="S7" s="41">
        <f>R7+Model_3!S51</f>
        <v>2500</v>
      </c>
      <c r="T7" s="41">
        <f>S7+Model_3!T51</f>
        <v>2500</v>
      </c>
      <c r="U7" s="41">
        <f>T7+Model_3!U51</f>
        <v>2500</v>
      </c>
      <c r="V7" s="41">
        <f>U7+Model_3!V51</f>
        <v>2500</v>
      </c>
      <c r="W7" s="41">
        <f>V7+Model_3!W51</f>
        <v>2500</v>
      </c>
      <c r="X7" s="41">
        <f>W7+Model_3!X51</f>
        <v>2500</v>
      </c>
      <c r="Y7" s="41">
        <f>X7+Model_3!Y51</f>
        <v>2500</v>
      </c>
      <c r="Z7" s="41">
        <f>Y7+Model_3!Z51</f>
        <v>2500</v>
      </c>
      <c r="AA7" s="41">
        <f>Z7+Model_3!AA51</f>
        <v>2500</v>
      </c>
      <c r="AB7" s="41">
        <f>AA7+Model_3!AB51</f>
        <v>2500</v>
      </c>
      <c r="AC7" s="41">
        <f>AB7+Model_3!AC51</f>
        <v>2500</v>
      </c>
      <c r="AD7" s="41">
        <f>AC7+Model_3!AD51</f>
        <v>2500</v>
      </c>
      <c r="AE7" s="41">
        <f>AD7+Model_3!AE51</f>
        <v>2500</v>
      </c>
      <c r="AF7" s="41">
        <f>AE7+Model_3!AF51</f>
        <v>2500</v>
      </c>
      <c r="AG7" s="41">
        <f>AF7+Model_3!AG51</f>
        <v>2500</v>
      </c>
      <c r="AH7" s="41">
        <f>AG7+Model_3!AH51</f>
        <v>2500</v>
      </c>
      <c r="AI7" s="41">
        <f>AH7+Model_3!AI51</f>
        <v>2500</v>
      </c>
      <c r="AJ7" s="41">
        <f>AI7+Model_3!AJ51</f>
        <v>2500</v>
      </c>
      <c r="AK7" s="41">
        <f>AJ7+Model_3!AK51</f>
        <v>2500</v>
      </c>
      <c r="AL7" s="41">
        <f>AK7+Model_3!AL51</f>
        <v>2500</v>
      </c>
      <c r="AM7" s="41">
        <f>AL7+Model_3!AM51</f>
        <v>2500</v>
      </c>
      <c r="AN7" s="41">
        <f>AM7+Model_3!AN51</f>
        <v>2500</v>
      </c>
      <c r="AO7" s="41">
        <f>AN7+Model_3!AO51</f>
        <v>2500</v>
      </c>
      <c r="AP7" s="41">
        <f>AO7+Model_3!AP51</f>
        <v>2500</v>
      </c>
      <c r="AQ7" s="41">
        <f>AP7+Model_3!AQ51</f>
        <v>2500</v>
      </c>
      <c r="AR7" s="41">
        <f>AQ7+Model_3!AR51</f>
        <v>2500</v>
      </c>
      <c r="AS7" s="41">
        <f>AR7+Model_3!AS51</f>
        <v>2500</v>
      </c>
      <c r="AT7" s="41">
        <f>AS7+Model_3!AT51</f>
        <v>2500</v>
      </c>
      <c r="AU7" s="41">
        <f>AT7+Model_3!AU51</f>
        <v>2500</v>
      </c>
      <c r="AV7" s="41">
        <f>AU7+Model_3!AV51</f>
        <v>2500</v>
      </c>
      <c r="AW7" s="41">
        <f>AV7+Model_3!AW51</f>
        <v>2500</v>
      </c>
      <c r="AX7" s="41">
        <f>AW7+Model_3!AX51</f>
        <v>2500</v>
      </c>
      <c r="AY7" s="41">
        <f>AX7+Model_3!AY51</f>
        <v>2500</v>
      </c>
      <c r="AZ7" s="41"/>
      <c r="BA7" s="41"/>
      <c r="BB7" s="41"/>
    </row>
    <row r="8" spans="1:54" x14ac:dyDescent="0.45">
      <c r="A8" s="41" t="str">
        <f>Model_3!A52</f>
        <v>Watering in year 1 ($)</v>
      </c>
      <c r="B8" s="41">
        <f>Model_3!B52</f>
        <v>960</v>
      </c>
      <c r="C8" s="41">
        <f>B8+Model_3!C52</f>
        <v>960</v>
      </c>
      <c r="D8" s="41">
        <f>C8+Model_3!D52</f>
        <v>960</v>
      </c>
      <c r="E8" s="41">
        <f>D8+Model_3!E52</f>
        <v>960</v>
      </c>
      <c r="F8" s="41">
        <f>E8+Model_3!F52</f>
        <v>960</v>
      </c>
      <c r="G8" s="41">
        <f>F8+Model_3!G52</f>
        <v>960</v>
      </c>
      <c r="H8" s="41">
        <f>G8+Model_3!H52</f>
        <v>960</v>
      </c>
      <c r="I8" s="41">
        <f>H8+Model_3!I52</f>
        <v>960</v>
      </c>
      <c r="J8" s="41">
        <f>I8+Model_3!J52</f>
        <v>960</v>
      </c>
      <c r="K8" s="41">
        <f>J8+Model_3!K52</f>
        <v>960</v>
      </c>
      <c r="L8" s="41">
        <f>K8+Model_3!L52</f>
        <v>960</v>
      </c>
      <c r="M8" s="41">
        <f>L8+Model_3!M52</f>
        <v>960</v>
      </c>
      <c r="N8" s="41">
        <f>M8+Model_3!N52</f>
        <v>960</v>
      </c>
      <c r="O8" s="41">
        <f>N8+Model_3!O52</f>
        <v>960</v>
      </c>
      <c r="P8" s="41">
        <f>O8+Model_3!P52</f>
        <v>960</v>
      </c>
      <c r="Q8" s="41">
        <f>P8+Model_3!Q52</f>
        <v>960</v>
      </c>
      <c r="R8" s="41">
        <f>Q8+Model_3!R52</f>
        <v>960</v>
      </c>
      <c r="S8" s="41">
        <f>R8+Model_3!S52</f>
        <v>960</v>
      </c>
      <c r="T8" s="41">
        <f>S8+Model_3!T52</f>
        <v>960</v>
      </c>
      <c r="U8" s="41">
        <f>T8+Model_3!U52</f>
        <v>960</v>
      </c>
      <c r="V8" s="41">
        <f>U8+Model_3!V52</f>
        <v>960</v>
      </c>
      <c r="W8" s="41">
        <f>V8+Model_3!W52</f>
        <v>960</v>
      </c>
      <c r="X8" s="41">
        <f>W8+Model_3!X52</f>
        <v>960</v>
      </c>
      <c r="Y8" s="41">
        <f>X8+Model_3!Y52</f>
        <v>960</v>
      </c>
      <c r="Z8" s="41">
        <f>Y8+Model_3!Z52</f>
        <v>960</v>
      </c>
      <c r="AA8" s="41">
        <f>Z8+Model_3!AA52</f>
        <v>960</v>
      </c>
      <c r="AB8" s="41">
        <f>AA8+Model_3!AB52</f>
        <v>960</v>
      </c>
      <c r="AC8" s="41">
        <f>AB8+Model_3!AC52</f>
        <v>960</v>
      </c>
      <c r="AD8" s="41">
        <f>AC8+Model_3!AD52</f>
        <v>960</v>
      </c>
      <c r="AE8" s="41">
        <f>AD8+Model_3!AE52</f>
        <v>960</v>
      </c>
      <c r="AF8" s="41">
        <f>AE8+Model_3!AF52</f>
        <v>960</v>
      </c>
      <c r="AG8" s="41">
        <f>AF8+Model_3!AG52</f>
        <v>960</v>
      </c>
      <c r="AH8" s="41">
        <f>AG8+Model_3!AH52</f>
        <v>960</v>
      </c>
      <c r="AI8" s="41">
        <f>AH8+Model_3!AI52</f>
        <v>960</v>
      </c>
      <c r="AJ8" s="41">
        <f>AI8+Model_3!AJ52</f>
        <v>960</v>
      </c>
      <c r="AK8" s="41">
        <f>AJ8+Model_3!AK52</f>
        <v>960</v>
      </c>
      <c r="AL8" s="41">
        <f>AK8+Model_3!AL52</f>
        <v>960</v>
      </c>
      <c r="AM8" s="41">
        <f>AL8+Model_3!AM52</f>
        <v>960</v>
      </c>
      <c r="AN8" s="41">
        <f>AM8+Model_3!AN52</f>
        <v>960</v>
      </c>
      <c r="AO8" s="41">
        <f>AN8+Model_3!AO52</f>
        <v>960</v>
      </c>
      <c r="AP8" s="41">
        <f>AO8+Model_3!AP52</f>
        <v>960</v>
      </c>
      <c r="AQ8" s="41">
        <f>AP8+Model_3!AQ52</f>
        <v>960</v>
      </c>
      <c r="AR8" s="41">
        <f>AQ8+Model_3!AR52</f>
        <v>960</v>
      </c>
      <c r="AS8" s="41">
        <f>AR8+Model_3!AS52</f>
        <v>960</v>
      </c>
      <c r="AT8" s="41">
        <f>AS8+Model_3!AT52</f>
        <v>960</v>
      </c>
      <c r="AU8" s="41">
        <f>AT8+Model_3!AU52</f>
        <v>960</v>
      </c>
      <c r="AV8" s="41">
        <f>AU8+Model_3!AV52</f>
        <v>960</v>
      </c>
      <c r="AW8" s="41">
        <f>AV8+Model_3!AW52</f>
        <v>960</v>
      </c>
      <c r="AX8" s="41">
        <f>AW8+Model_3!AX52</f>
        <v>960</v>
      </c>
      <c r="AY8" s="41">
        <f>AX8+Model_3!AY52</f>
        <v>960</v>
      </c>
      <c r="AZ8" s="41"/>
      <c r="BA8" s="41"/>
      <c r="BB8" s="41"/>
    </row>
    <row r="9" spans="1:54" x14ac:dyDescent="0.45">
      <c r="A9" s="41" t="str">
        <f>Model_3!A53</f>
        <v>Watering from year 2 to 10 ($)</v>
      </c>
      <c r="B9" s="41">
        <f>Model_3!B53</f>
        <v>0</v>
      </c>
      <c r="C9" s="41">
        <f>B9+Model_3!C53</f>
        <v>320</v>
      </c>
      <c r="D9" s="41">
        <f>C9+Model_3!D53</f>
        <v>640</v>
      </c>
      <c r="E9" s="41">
        <f>D9+Model_3!E53</f>
        <v>960</v>
      </c>
      <c r="F9" s="41">
        <f>E9+Model_3!F53</f>
        <v>1280</v>
      </c>
      <c r="G9" s="41">
        <f>F9+Model_3!G53</f>
        <v>1600</v>
      </c>
      <c r="H9" s="41">
        <f>G9+Model_3!H53</f>
        <v>1920</v>
      </c>
      <c r="I9" s="41">
        <f>H9+Model_3!I53</f>
        <v>2240</v>
      </c>
      <c r="J9" s="41">
        <f>I9+Model_3!J53</f>
        <v>2560</v>
      </c>
      <c r="K9" s="41">
        <f>J9+Model_3!K53</f>
        <v>2880</v>
      </c>
      <c r="L9" s="41">
        <f>K9+Model_3!L53</f>
        <v>2880</v>
      </c>
      <c r="M9" s="41">
        <f>L9+Model_3!M53</f>
        <v>2880</v>
      </c>
      <c r="N9" s="41">
        <f>M9+Model_3!N53</f>
        <v>2880</v>
      </c>
      <c r="O9" s="41">
        <f>N9+Model_3!O53</f>
        <v>2880</v>
      </c>
      <c r="P9" s="41">
        <f>O9+Model_3!P53</f>
        <v>2880</v>
      </c>
      <c r="Q9" s="41">
        <f>P9+Model_3!Q53</f>
        <v>2880</v>
      </c>
      <c r="R9" s="41">
        <f>Q9+Model_3!R53</f>
        <v>2880</v>
      </c>
      <c r="S9" s="41">
        <f>R9+Model_3!S53</f>
        <v>2880</v>
      </c>
      <c r="T9" s="41">
        <f>S9+Model_3!T53</f>
        <v>2880</v>
      </c>
      <c r="U9" s="41">
        <f>T9+Model_3!U53</f>
        <v>2880</v>
      </c>
      <c r="V9" s="41">
        <f>U9+Model_3!V53</f>
        <v>2880</v>
      </c>
      <c r="W9" s="41">
        <f>V9+Model_3!W53</f>
        <v>2880</v>
      </c>
      <c r="X9" s="41">
        <f>W9+Model_3!X53</f>
        <v>2880</v>
      </c>
      <c r="Y9" s="41">
        <f>X9+Model_3!Y53</f>
        <v>2880</v>
      </c>
      <c r="Z9" s="41">
        <f>Y9+Model_3!Z53</f>
        <v>2880</v>
      </c>
      <c r="AA9" s="41">
        <f>Z9+Model_3!AA53</f>
        <v>2880</v>
      </c>
      <c r="AB9" s="41">
        <f>AA9+Model_3!AB53</f>
        <v>2880</v>
      </c>
      <c r="AC9" s="41">
        <f>AB9+Model_3!AC53</f>
        <v>2880</v>
      </c>
      <c r="AD9" s="41">
        <f>AC9+Model_3!AD53</f>
        <v>2880</v>
      </c>
      <c r="AE9" s="41">
        <f>AD9+Model_3!AE53</f>
        <v>2880</v>
      </c>
      <c r="AF9" s="41">
        <f>AE9+Model_3!AF53</f>
        <v>2880</v>
      </c>
      <c r="AG9" s="41">
        <f>AF9+Model_3!AG53</f>
        <v>2880</v>
      </c>
      <c r="AH9" s="41">
        <f>AG9+Model_3!AH53</f>
        <v>2880</v>
      </c>
      <c r="AI9" s="41">
        <f>AH9+Model_3!AI53</f>
        <v>2880</v>
      </c>
      <c r="AJ9" s="41">
        <f>AI9+Model_3!AJ53</f>
        <v>2880</v>
      </c>
      <c r="AK9" s="41">
        <f>AJ9+Model_3!AK53</f>
        <v>2880</v>
      </c>
      <c r="AL9" s="41">
        <f>AK9+Model_3!AL53</f>
        <v>2880</v>
      </c>
      <c r="AM9" s="41">
        <f>AL9+Model_3!AM53</f>
        <v>2880</v>
      </c>
      <c r="AN9" s="41">
        <f>AM9+Model_3!AN53</f>
        <v>2880</v>
      </c>
      <c r="AO9" s="41">
        <f>AN9+Model_3!AO53</f>
        <v>2880</v>
      </c>
      <c r="AP9" s="41">
        <f>AO9+Model_3!AP53</f>
        <v>2880</v>
      </c>
      <c r="AQ9" s="41">
        <f>AP9+Model_3!AQ53</f>
        <v>2880</v>
      </c>
      <c r="AR9" s="41">
        <f>AQ9+Model_3!AR53</f>
        <v>2880</v>
      </c>
      <c r="AS9" s="41">
        <f>AR9+Model_3!AS53</f>
        <v>2880</v>
      </c>
      <c r="AT9" s="41">
        <f>AS9+Model_3!AT53</f>
        <v>2880</v>
      </c>
      <c r="AU9" s="41">
        <f>AT9+Model_3!AU53</f>
        <v>2880</v>
      </c>
      <c r="AV9" s="41">
        <f>AU9+Model_3!AV53</f>
        <v>2880</v>
      </c>
      <c r="AW9" s="41">
        <f>AV9+Model_3!AW53</f>
        <v>2880</v>
      </c>
      <c r="AX9" s="41">
        <f>AW9+Model_3!AX53</f>
        <v>2880</v>
      </c>
      <c r="AY9" s="41">
        <f>AX9+Model_3!AY53</f>
        <v>2880</v>
      </c>
      <c r="AZ9" s="41"/>
      <c r="BA9" s="41"/>
      <c r="BB9" s="41"/>
    </row>
    <row r="10" spans="1:54" x14ac:dyDescent="0.45">
      <c r="A10" s="41" t="str">
        <f>Model_3!A54</f>
        <v>Watering from year 10 onwards ($)</v>
      </c>
      <c r="B10" s="41">
        <f>Model_3!B54</f>
        <v>0</v>
      </c>
      <c r="C10" s="41">
        <f>B10+Model_3!C54</f>
        <v>0</v>
      </c>
      <c r="D10" s="41">
        <f>C10+Model_3!D54</f>
        <v>0</v>
      </c>
      <c r="E10" s="41">
        <f>D10+Model_3!E54</f>
        <v>0</v>
      </c>
      <c r="F10" s="41">
        <f>E10+Model_3!F54</f>
        <v>0</v>
      </c>
      <c r="G10" s="41">
        <f>F10+Model_3!G54</f>
        <v>0</v>
      </c>
      <c r="H10" s="41">
        <f>G10+Model_3!H54</f>
        <v>0</v>
      </c>
      <c r="I10" s="41">
        <f>H10+Model_3!I54</f>
        <v>0</v>
      </c>
      <c r="J10" s="41">
        <f>I10+Model_3!J54</f>
        <v>0</v>
      </c>
      <c r="K10" s="41">
        <f>J10+Model_3!K54</f>
        <v>0</v>
      </c>
      <c r="L10" s="41">
        <f>K10+Model_3!L54</f>
        <v>0</v>
      </c>
      <c r="M10" s="41">
        <f>L10+Model_3!M54</f>
        <v>0</v>
      </c>
      <c r="N10" s="41">
        <f>M10+Model_3!N54</f>
        <v>0</v>
      </c>
      <c r="O10" s="41">
        <f>N10+Model_3!O54</f>
        <v>0</v>
      </c>
      <c r="P10" s="41">
        <f>O10+Model_3!P54</f>
        <v>0</v>
      </c>
      <c r="Q10" s="41">
        <f>P10+Model_3!Q54</f>
        <v>0</v>
      </c>
      <c r="R10" s="41">
        <f>Q10+Model_3!R54</f>
        <v>0</v>
      </c>
      <c r="S10" s="41">
        <f>R10+Model_3!S54</f>
        <v>0</v>
      </c>
      <c r="T10" s="41">
        <f>S10+Model_3!T54</f>
        <v>0</v>
      </c>
      <c r="U10" s="41">
        <f>T10+Model_3!U54</f>
        <v>0</v>
      </c>
      <c r="V10" s="41">
        <f>U10+Model_3!V54</f>
        <v>0</v>
      </c>
      <c r="W10" s="41">
        <f>V10+Model_3!W54</f>
        <v>0</v>
      </c>
      <c r="X10" s="41">
        <f>W10+Model_3!X54</f>
        <v>0</v>
      </c>
      <c r="Y10" s="41">
        <f>X10+Model_3!Y54</f>
        <v>0</v>
      </c>
      <c r="Z10" s="41">
        <f>Y10+Model_3!Z54</f>
        <v>0</v>
      </c>
      <c r="AA10" s="41">
        <f>Z10+Model_3!AA54</f>
        <v>0</v>
      </c>
      <c r="AB10" s="41">
        <f>AA10+Model_3!AB54</f>
        <v>0</v>
      </c>
      <c r="AC10" s="41">
        <f>AB10+Model_3!AC54</f>
        <v>0</v>
      </c>
      <c r="AD10" s="41">
        <f>AC10+Model_3!AD54</f>
        <v>0</v>
      </c>
      <c r="AE10" s="41">
        <f>AD10+Model_3!AE54</f>
        <v>0</v>
      </c>
      <c r="AF10" s="41">
        <f>AE10+Model_3!AF54</f>
        <v>0</v>
      </c>
      <c r="AG10" s="41">
        <f>AF10+Model_3!AG54</f>
        <v>0</v>
      </c>
      <c r="AH10" s="41">
        <f>AG10+Model_3!AH54</f>
        <v>0</v>
      </c>
      <c r="AI10" s="41">
        <f>AH10+Model_3!AI54</f>
        <v>0</v>
      </c>
      <c r="AJ10" s="41">
        <f>AI10+Model_3!AJ54</f>
        <v>0</v>
      </c>
      <c r="AK10" s="41">
        <f>AJ10+Model_3!AK54</f>
        <v>0</v>
      </c>
      <c r="AL10" s="41">
        <f>AK10+Model_3!AL54</f>
        <v>0</v>
      </c>
      <c r="AM10" s="41">
        <f>AL10+Model_3!AM54</f>
        <v>0</v>
      </c>
      <c r="AN10" s="41">
        <f>AM10+Model_3!AN54</f>
        <v>0</v>
      </c>
      <c r="AO10" s="41">
        <f>AN10+Model_3!AO54</f>
        <v>0</v>
      </c>
      <c r="AP10" s="41">
        <f>AO10+Model_3!AP54</f>
        <v>0</v>
      </c>
      <c r="AQ10" s="41">
        <f>AP10+Model_3!AQ54</f>
        <v>0</v>
      </c>
      <c r="AR10" s="41">
        <f>AQ10+Model_3!AR54</f>
        <v>0</v>
      </c>
      <c r="AS10" s="41">
        <f>AR10+Model_3!AS54</f>
        <v>0</v>
      </c>
      <c r="AT10" s="41">
        <f>AS10+Model_3!AT54</f>
        <v>0</v>
      </c>
      <c r="AU10" s="41">
        <f>AT10+Model_3!AU54</f>
        <v>0</v>
      </c>
      <c r="AV10" s="41">
        <f>AU10+Model_3!AV54</f>
        <v>0</v>
      </c>
      <c r="AW10" s="41">
        <f>AV10+Model_3!AW54</f>
        <v>0</v>
      </c>
      <c r="AX10" s="41">
        <f>AW10+Model_3!AX54</f>
        <v>0</v>
      </c>
      <c r="AY10" s="41">
        <f>AX10+Model_3!AY54</f>
        <v>0</v>
      </c>
      <c r="AZ10" s="41"/>
      <c r="BA10" s="41"/>
      <c r="BB10" s="41"/>
    </row>
    <row r="11" spans="1:54" x14ac:dyDescent="0.45">
      <c r="A11" s="41" t="str">
        <f>Model_3!A55</f>
        <v>Tree removal ($)</v>
      </c>
      <c r="B11" s="41">
        <f>Model_3!B55</f>
        <v>0</v>
      </c>
      <c r="C11" s="41">
        <f>B11+Model_3!C55</f>
        <v>0</v>
      </c>
      <c r="D11" s="41">
        <f>C11+Model_3!D55</f>
        <v>0</v>
      </c>
      <c r="E11" s="41">
        <f>D11+Model_3!E55</f>
        <v>0</v>
      </c>
      <c r="F11" s="41">
        <f>E11+Model_3!F55</f>
        <v>0</v>
      </c>
      <c r="G11" s="41">
        <f>F11+Model_3!G55</f>
        <v>0</v>
      </c>
      <c r="H11" s="41">
        <f>G11+Model_3!H55</f>
        <v>0</v>
      </c>
      <c r="I11" s="41">
        <f>H11+Model_3!I55</f>
        <v>0</v>
      </c>
      <c r="J11" s="41">
        <f>I11+Model_3!J55</f>
        <v>0</v>
      </c>
      <c r="K11" s="41">
        <f>J11+Model_3!K55</f>
        <v>0</v>
      </c>
      <c r="L11" s="41">
        <f>K11+Model_3!L55</f>
        <v>0</v>
      </c>
      <c r="M11" s="41">
        <f>L11+Model_3!M55</f>
        <v>0</v>
      </c>
      <c r="N11" s="41">
        <f>M11+Model_3!N55</f>
        <v>0</v>
      </c>
      <c r="O11" s="41">
        <f>N11+Model_3!O55</f>
        <v>0</v>
      </c>
      <c r="P11" s="41">
        <f>O11+Model_3!P55</f>
        <v>0</v>
      </c>
      <c r="Q11" s="41">
        <f>P11+Model_3!Q55</f>
        <v>0</v>
      </c>
      <c r="R11" s="41">
        <f>Q11+Model_3!R55</f>
        <v>0</v>
      </c>
      <c r="S11" s="41">
        <f>R11+Model_3!S55</f>
        <v>0</v>
      </c>
      <c r="T11" s="41">
        <f>S11+Model_3!T55</f>
        <v>0</v>
      </c>
      <c r="U11" s="41">
        <f>T11+Model_3!U55</f>
        <v>0</v>
      </c>
      <c r="V11" s="41">
        <f>U11+Model_3!V55</f>
        <v>0</v>
      </c>
      <c r="W11" s="41">
        <f>V11+Model_3!W55</f>
        <v>0</v>
      </c>
      <c r="X11" s="41">
        <f>W11+Model_3!X55</f>
        <v>0</v>
      </c>
      <c r="Y11" s="41">
        <f>X11+Model_3!Y55</f>
        <v>0</v>
      </c>
      <c r="Z11" s="41">
        <f>Y11+Model_3!Z55</f>
        <v>0</v>
      </c>
      <c r="AA11" s="41">
        <f>Z11+Model_3!AA55</f>
        <v>0</v>
      </c>
      <c r="AB11" s="41">
        <f>AA11+Model_3!AB55</f>
        <v>0</v>
      </c>
      <c r="AC11" s="41">
        <f>AB11+Model_3!AC55</f>
        <v>0</v>
      </c>
      <c r="AD11" s="41">
        <f>AC11+Model_3!AD55</f>
        <v>0</v>
      </c>
      <c r="AE11" s="41">
        <f>AD11+Model_3!AE55</f>
        <v>0</v>
      </c>
      <c r="AF11" s="41">
        <f>AE11+Model_3!AF55</f>
        <v>0</v>
      </c>
      <c r="AG11" s="41">
        <f>AF11+Model_3!AG55</f>
        <v>0</v>
      </c>
      <c r="AH11" s="41">
        <f>AG11+Model_3!AH55</f>
        <v>0</v>
      </c>
      <c r="AI11" s="41">
        <f>AH11+Model_3!AI55</f>
        <v>0</v>
      </c>
      <c r="AJ11" s="41">
        <f>AI11+Model_3!AJ55</f>
        <v>0</v>
      </c>
      <c r="AK11" s="41">
        <f>AJ11+Model_3!AK55</f>
        <v>0</v>
      </c>
      <c r="AL11" s="41">
        <f>AK11+Model_3!AL55</f>
        <v>0</v>
      </c>
      <c r="AM11" s="41">
        <f>AL11+Model_3!AM55</f>
        <v>0</v>
      </c>
      <c r="AN11" s="41">
        <f>AM11+Model_3!AN55</f>
        <v>0</v>
      </c>
      <c r="AO11" s="41">
        <f>AN11+Model_3!AO55</f>
        <v>0</v>
      </c>
      <c r="AP11" s="41">
        <f>AO11+Model_3!AP55</f>
        <v>0</v>
      </c>
      <c r="AQ11" s="41">
        <f>AP11+Model_3!AQ55</f>
        <v>0</v>
      </c>
      <c r="AR11" s="41">
        <f>AQ11+Model_3!AR55</f>
        <v>0</v>
      </c>
      <c r="AS11" s="41">
        <f>AR11+Model_3!AS55</f>
        <v>0</v>
      </c>
      <c r="AT11" s="41">
        <f>AS11+Model_3!AT55</f>
        <v>0</v>
      </c>
      <c r="AU11" s="41">
        <f>AT11+Model_3!AU55</f>
        <v>0</v>
      </c>
      <c r="AV11" s="41">
        <f>AU11+Model_3!AV55</f>
        <v>0</v>
      </c>
      <c r="AW11" s="41">
        <f>AV11+Model_3!AW55</f>
        <v>0</v>
      </c>
      <c r="AX11" s="41">
        <f>AW11+Model_3!AX55</f>
        <v>0</v>
      </c>
      <c r="AY11" s="41">
        <f>AX11+Model_3!AY55</f>
        <v>0</v>
      </c>
      <c r="AZ11" s="41"/>
      <c r="BA11" s="41"/>
      <c r="BB11" s="41"/>
    </row>
    <row r="12" spans="1:54" x14ac:dyDescent="0.45">
      <c r="A12" s="41" t="str">
        <f>Model_3!A56</f>
        <v>Tree protection fencing ($)</v>
      </c>
      <c r="B12" s="41">
        <f>Model_3!B56</f>
        <v>0</v>
      </c>
      <c r="C12" s="41">
        <f>B12+Model_3!C56</f>
        <v>0</v>
      </c>
      <c r="D12" s="41">
        <f>C12+Model_3!D56</f>
        <v>0</v>
      </c>
      <c r="E12" s="41">
        <f>D12+Model_3!E56</f>
        <v>0</v>
      </c>
      <c r="F12" s="41">
        <f>E12+Model_3!F56</f>
        <v>0</v>
      </c>
      <c r="G12" s="41">
        <f>F12+Model_3!G56</f>
        <v>0</v>
      </c>
      <c r="H12" s="41">
        <f>G12+Model_3!H56</f>
        <v>0</v>
      </c>
      <c r="I12" s="41">
        <f>H12+Model_3!I56</f>
        <v>0</v>
      </c>
      <c r="J12" s="41">
        <f>I12+Model_3!J56</f>
        <v>0</v>
      </c>
      <c r="K12" s="41">
        <f>J12+Model_3!K56</f>
        <v>0</v>
      </c>
      <c r="L12" s="41">
        <f>K12+Model_3!L56</f>
        <v>0</v>
      </c>
      <c r="M12" s="41">
        <f>L12+Model_3!M56</f>
        <v>0</v>
      </c>
      <c r="N12" s="41">
        <f>M12+Model_3!N56</f>
        <v>0</v>
      </c>
      <c r="O12" s="41">
        <f>N12+Model_3!O56</f>
        <v>0</v>
      </c>
      <c r="P12" s="41">
        <f>O12+Model_3!P56</f>
        <v>0</v>
      </c>
      <c r="Q12" s="41">
        <f>P12+Model_3!Q56</f>
        <v>0</v>
      </c>
      <c r="R12" s="41">
        <f>Q12+Model_3!R56</f>
        <v>0</v>
      </c>
      <c r="S12" s="41">
        <f>R12+Model_3!S56</f>
        <v>0</v>
      </c>
      <c r="T12" s="41">
        <f>S12+Model_3!T56</f>
        <v>0</v>
      </c>
      <c r="U12" s="41">
        <f>T12+Model_3!U56</f>
        <v>0</v>
      </c>
      <c r="V12" s="41">
        <f>U12+Model_3!V56</f>
        <v>0</v>
      </c>
      <c r="W12" s="41">
        <f>V12+Model_3!W56</f>
        <v>0</v>
      </c>
      <c r="X12" s="41">
        <f>W12+Model_3!X56</f>
        <v>0</v>
      </c>
      <c r="Y12" s="41">
        <f>X12+Model_3!Y56</f>
        <v>0</v>
      </c>
      <c r="Z12" s="41">
        <f>Y12+Model_3!Z56</f>
        <v>0</v>
      </c>
      <c r="AA12" s="41">
        <f>Z12+Model_3!AA56</f>
        <v>0</v>
      </c>
      <c r="AB12" s="41">
        <f>AA12+Model_3!AB56</f>
        <v>0</v>
      </c>
      <c r="AC12" s="41">
        <f>AB12+Model_3!AC56</f>
        <v>0</v>
      </c>
      <c r="AD12" s="41">
        <f>AC12+Model_3!AD56</f>
        <v>0</v>
      </c>
      <c r="AE12" s="41">
        <f>AD12+Model_3!AE56</f>
        <v>0</v>
      </c>
      <c r="AF12" s="41">
        <f>AE12+Model_3!AF56</f>
        <v>0</v>
      </c>
      <c r="AG12" s="41">
        <f>AF12+Model_3!AG56</f>
        <v>0</v>
      </c>
      <c r="AH12" s="41">
        <f>AG12+Model_3!AH56</f>
        <v>0</v>
      </c>
      <c r="AI12" s="41">
        <f>AH12+Model_3!AI56</f>
        <v>0</v>
      </c>
      <c r="AJ12" s="41">
        <f>AI12+Model_3!AJ56</f>
        <v>0</v>
      </c>
      <c r="AK12" s="41">
        <f>AJ12+Model_3!AK56</f>
        <v>0</v>
      </c>
      <c r="AL12" s="41">
        <f>AK12+Model_3!AL56</f>
        <v>0</v>
      </c>
      <c r="AM12" s="41">
        <f>AL12+Model_3!AM56</f>
        <v>0</v>
      </c>
      <c r="AN12" s="41">
        <f>AM12+Model_3!AN56</f>
        <v>0</v>
      </c>
      <c r="AO12" s="41">
        <f>AN12+Model_3!AO56</f>
        <v>0</v>
      </c>
      <c r="AP12" s="41">
        <f>AO12+Model_3!AP56</f>
        <v>0</v>
      </c>
      <c r="AQ12" s="41">
        <f>AP12+Model_3!AQ56</f>
        <v>0</v>
      </c>
      <c r="AR12" s="41">
        <f>AQ12+Model_3!AR56</f>
        <v>0</v>
      </c>
      <c r="AS12" s="41">
        <f>AR12+Model_3!AS56</f>
        <v>0</v>
      </c>
      <c r="AT12" s="41">
        <f>AS12+Model_3!AT56</f>
        <v>0</v>
      </c>
      <c r="AU12" s="41">
        <f>AT12+Model_3!AU56</f>
        <v>0</v>
      </c>
      <c r="AV12" s="41">
        <f>AU12+Model_3!AV56</f>
        <v>0</v>
      </c>
      <c r="AW12" s="41">
        <f>AV12+Model_3!AW56</f>
        <v>0</v>
      </c>
      <c r="AX12" s="41">
        <f>AW12+Model_3!AX56</f>
        <v>0</v>
      </c>
      <c r="AY12" s="41">
        <f>AX12+Model_3!AY56</f>
        <v>0</v>
      </c>
      <c r="AZ12" s="41"/>
      <c r="BA12" s="41"/>
      <c r="BB12" s="41"/>
    </row>
    <row r="13" spans="1:54" x14ac:dyDescent="0.45">
      <c r="A13" s="41" t="str">
        <f>Model_3!A57</f>
        <v>User specified cost item 1 ($/ year)</v>
      </c>
      <c r="B13" s="41">
        <f>Model_3!B57</f>
        <v>0</v>
      </c>
      <c r="C13" s="41">
        <f>B13+Model_3!C57</f>
        <v>0</v>
      </c>
      <c r="D13" s="41">
        <f>C13+Model_3!D57</f>
        <v>0</v>
      </c>
      <c r="E13" s="41">
        <f>D13+Model_3!E57</f>
        <v>0</v>
      </c>
      <c r="F13" s="41">
        <f>E13+Model_3!F57</f>
        <v>0</v>
      </c>
      <c r="G13" s="41">
        <f>F13+Model_3!G57</f>
        <v>0</v>
      </c>
      <c r="H13" s="41">
        <f>G13+Model_3!H57</f>
        <v>0</v>
      </c>
      <c r="I13" s="41">
        <f>H13+Model_3!I57</f>
        <v>0</v>
      </c>
      <c r="J13" s="41">
        <f>I13+Model_3!J57</f>
        <v>0</v>
      </c>
      <c r="K13" s="41">
        <f>J13+Model_3!K57</f>
        <v>0</v>
      </c>
      <c r="L13" s="41">
        <f>K13+Model_3!L57</f>
        <v>0</v>
      </c>
      <c r="M13" s="41">
        <f>L13+Model_3!M57</f>
        <v>0</v>
      </c>
      <c r="N13" s="41">
        <f>M13+Model_3!N57</f>
        <v>0</v>
      </c>
      <c r="O13" s="41">
        <f>N13+Model_3!O57</f>
        <v>0</v>
      </c>
      <c r="P13" s="41">
        <f>O13+Model_3!P57</f>
        <v>0</v>
      </c>
      <c r="Q13" s="41">
        <f>P13+Model_3!Q57</f>
        <v>0</v>
      </c>
      <c r="R13" s="41">
        <f>Q13+Model_3!R57</f>
        <v>0</v>
      </c>
      <c r="S13" s="41">
        <f>R13+Model_3!S57</f>
        <v>0</v>
      </c>
      <c r="T13" s="41">
        <f>S13+Model_3!T57</f>
        <v>0</v>
      </c>
      <c r="U13" s="41">
        <f>T13+Model_3!U57</f>
        <v>0</v>
      </c>
      <c r="V13" s="41">
        <f>U13+Model_3!V57</f>
        <v>0</v>
      </c>
      <c r="W13" s="41">
        <f>V13+Model_3!W57</f>
        <v>0</v>
      </c>
      <c r="X13" s="41">
        <f>W13+Model_3!X57</f>
        <v>0</v>
      </c>
      <c r="Y13" s="41">
        <f>X13+Model_3!Y57</f>
        <v>0</v>
      </c>
      <c r="Z13" s="41">
        <f>Y13+Model_3!Z57</f>
        <v>0</v>
      </c>
      <c r="AA13" s="41">
        <f>Z13+Model_3!AA57</f>
        <v>0</v>
      </c>
      <c r="AB13" s="41">
        <f>AA13+Model_3!AB57</f>
        <v>0</v>
      </c>
      <c r="AC13" s="41">
        <f>AB13+Model_3!AC57</f>
        <v>0</v>
      </c>
      <c r="AD13" s="41">
        <f>AC13+Model_3!AD57</f>
        <v>0</v>
      </c>
      <c r="AE13" s="41">
        <f>AD13+Model_3!AE57</f>
        <v>0</v>
      </c>
      <c r="AF13" s="41">
        <f>AE13+Model_3!AF57</f>
        <v>0</v>
      </c>
      <c r="AG13" s="41">
        <f>AF13+Model_3!AG57</f>
        <v>0</v>
      </c>
      <c r="AH13" s="41">
        <f>AG13+Model_3!AH57</f>
        <v>0</v>
      </c>
      <c r="AI13" s="41">
        <f>AH13+Model_3!AI57</f>
        <v>0</v>
      </c>
      <c r="AJ13" s="41">
        <f>AI13+Model_3!AJ57</f>
        <v>0</v>
      </c>
      <c r="AK13" s="41">
        <f>AJ13+Model_3!AK57</f>
        <v>0</v>
      </c>
      <c r="AL13" s="41">
        <f>AK13+Model_3!AL57</f>
        <v>0</v>
      </c>
      <c r="AM13" s="41">
        <f>AL13+Model_3!AM57</f>
        <v>0</v>
      </c>
      <c r="AN13" s="41">
        <f>AM13+Model_3!AN57</f>
        <v>0</v>
      </c>
      <c r="AO13" s="41">
        <f>AN13+Model_3!AO57</f>
        <v>0</v>
      </c>
      <c r="AP13" s="41">
        <f>AO13+Model_3!AP57</f>
        <v>0</v>
      </c>
      <c r="AQ13" s="41">
        <f>AP13+Model_3!AQ57</f>
        <v>0</v>
      </c>
      <c r="AR13" s="41">
        <f>AQ13+Model_3!AR57</f>
        <v>0</v>
      </c>
      <c r="AS13" s="41">
        <f>AR13+Model_3!AS57</f>
        <v>0</v>
      </c>
      <c r="AT13" s="41">
        <f>AS13+Model_3!AT57</f>
        <v>0</v>
      </c>
      <c r="AU13" s="41">
        <f>AT13+Model_3!AU57</f>
        <v>0</v>
      </c>
      <c r="AV13" s="41">
        <f>AU13+Model_3!AV57</f>
        <v>0</v>
      </c>
      <c r="AW13" s="41">
        <f>AV13+Model_3!AW57</f>
        <v>0</v>
      </c>
      <c r="AX13" s="41">
        <f>AW13+Model_3!AX57</f>
        <v>0</v>
      </c>
      <c r="AY13" s="41">
        <f>AX13+Model_3!AY57</f>
        <v>0</v>
      </c>
      <c r="AZ13" s="41"/>
      <c r="BA13" s="41"/>
      <c r="BB13" s="41"/>
    </row>
    <row r="14" spans="1:54" x14ac:dyDescent="0.45">
      <c r="A14" s="41" t="str">
        <f>Model_3!A58</f>
        <v>User specified cost item 2 ($/ year)</v>
      </c>
      <c r="B14" s="41">
        <f>Model_3!B58</f>
        <v>0</v>
      </c>
      <c r="C14" s="41">
        <f>B14+Model_3!C58</f>
        <v>0</v>
      </c>
      <c r="D14" s="41">
        <f>C14+Model_3!D58</f>
        <v>0</v>
      </c>
      <c r="E14" s="41">
        <f>D14+Model_3!E58</f>
        <v>0</v>
      </c>
      <c r="F14" s="41">
        <f>E14+Model_3!F58</f>
        <v>0</v>
      </c>
      <c r="G14" s="41">
        <f>F14+Model_3!G58</f>
        <v>0</v>
      </c>
      <c r="H14" s="41">
        <f>G14+Model_3!H58</f>
        <v>0</v>
      </c>
      <c r="I14" s="41">
        <f>H14+Model_3!I58</f>
        <v>0</v>
      </c>
      <c r="J14" s="41">
        <f>I14+Model_3!J58</f>
        <v>0</v>
      </c>
      <c r="K14" s="41">
        <f>J14+Model_3!K58</f>
        <v>0</v>
      </c>
      <c r="L14" s="41">
        <f>K14+Model_3!L58</f>
        <v>0</v>
      </c>
      <c r="M14" s="41">
        <f>L14+Model_3!M58</f>
        <v>0</v>
      </c>
      <c r="N14" s="41">
        <f>M14+Model_3!N58</f>
        <v>0</v>
      </c>
      <c r="O14" s="41">
        <f>N14+Model_3!O58</f>
        <v>0</v>
      </c>
      <c r="P14" s="41">
        <f>O14+Model_3!P58</f>
        <v>0</v>
      </c>
      <c r="Q14" s="41">
        <f>P14+Model_3!Q58</f>
        <v>0</v>
      </c>
      <c r="R14" s="41">
        <f>Q14+Model_3!R58</f>
        <v>0</v>
      </c>
      <c r="S14" s="41">
        <f>R14+Model_3!S58</f>
        <v>0</v>
      </c>
      <c r="T14" s="41">
        <f>S14+Model_3!T58</f>
        <v>0</v>
      </c>
      <c r="U14" s="41">
        <f>T14+Model_3!U58</f>
        <v>0</v>
      </c>
      <c r="V14" s="41">
        <f>U14+Model_3!V58</f>
        <v>0</v>
      </c>
      <c r="W14" s="41">
        <f>V14+Model_3!W58</f>
        <v>0</v>
      </c>
      <c r="X14" s="41">
        <f>W14+Model_3!X58</f>
        <v>0</v>
      </c>
      <c r="Y14" s="41">
        <f>X14+Model_3!Y58</f>
        <v>0</v>
      </c>
      <c r="Z14" s="41">
        <f>Y14+Model_3!Z58</f>
        <v>0</v>
      </c>
      <c r="AA14" s="41">
        <f>Z14+Model_3!AA58</f>
        <v>0</v>
      </c>
      <c r="AB14" s="41">
        <f>AA14+Model_3!AB58</f>
        <v>0</v>
      </c>
      <c r="AC14" s="41">
        <f>AB14+Model_3!AC58</f>
        <v>0</v>
      </c>
      <c r="AD14" s="41">
        <f>AC14+Model_3!AD58</f>
        <v>0</v>
      </c>
      <c r="AE14" s="41">
        <f>AD14+Model_3!AE58</f>
        <v>0</v>
      </c>
      <c r="AF14" s="41">
        <f>AE14+Model_3!AF58</f>
        <v>0</v>
      </c>
      <c r="AG14" s="41">
        <f>AF14+Model_3!AG58</f>
        <v>0</v>
      </c>
      <c r="AH14" s="41">
        <f>AG14+Model_3!AH58</f>
        <v>0</v>
      </c>
      <c r="AI14" s="41">
        <f>AH14+Model_3!AI58</f>
        <v>0</v>
      </c>
      <c r="AJ14" s="41">
        <f>AI14+Model_3!AJ58</f>
        <v>0</v>
      </c>
      <c r="AK14" s="41">
        <f>AJ14+Model_3!AK58</f>
        <v>0</v>
      </c>
      <c r="AL14" s="41">
        <f>AK14+Model_3!AL58</f>
        <v>0</v>
      </c>
      <c r="AM14" s="41">
        <f>AL14+Model_3!AM58</f>
        <v>0</v>
      </c>
      <c r="AN14" s="41">
        <f>AM14+Model_3!AN58</f>
        <v>0</v>
      </c>
      <c r="AO14" s="41">
        <f>AN14+Model_3!AO58</f>
        <v>0</v>
      </c>
      <c r="AP14" s="41">
        <f>AO14+Model_3!AP58</f>
        <v>0</v>
      </c>
      <c r="AQ14" s="41">
        <f>AP14+Model_3!AQ58</f>
        <v>0</v>
      </c>
      <c r="AR14" s="41">
        <f>AQ14+Model_3!AR58</f>
        <v>0</v>
      </c>
      <c r="AS14" s="41">
        <f>AR14+Model_3!AS58</f>
        <v>0</v>
      </c>
      <c r="AT14" s="41">
        <f>AS14+Model_3!AT58</f>
        <v>0</v>
      </c>
      <c r="AU14" s="41">
        <f>AT14+Model_3!AU58</f>
        <v>0</v>
      </c>
      <c r="AV14" s="41">
        <f>AU14+Model_3!AV58</f>
        <v>0</v>
      </c>
      <c r="AW14" s="41">
        <f>AV14+Model_3!AW58</f>
        <v>0</v>
      </c>
      <c r="AX14" s="41">
        <f>AW14+Model_3!AX58</f>
        <v>0</v>
      </c>
      <c r="AY14" s="41">
        <f>AX14+Model_3!AY58</f>
        <v>0</v>
      </c>
      <c r="AZ14" s="41"/>
      <c r="BA14" s="41"/>
      <c r="BB14" s="41"/>
    </row>
    <row r="15" spans="1:54" x14ac:dyDescent="0.45">
      <c r="A15" s="41" t="str">
        <f>Model_3!A59</f>
        <v>Maintenance in first 10 years ($)</v>
      </c>
      <c r="B15" s="41">
        <f>Model_3!B59</f>
        <v>564.90292281149993</v>
      </c>
      <c r="C15" s="41">
        <f>B15+Model_3!C59</f>
        <v>1129.8058456229999</v>
      </c>
      <c r="D15" s="41">
        <f>C15+Model_3!D59</f>
        <v>1694.7087684344997</v>
      </c>
      <c r="E15" s="41">
        <f>D15+Model_3!E59</f>
        <v>2259.6116912459997</v>
      </c>
      <c r="F15" s="41">
        <f>E15+Model_3!F59</f>
        <v>2824.5146140574998</v>
      </c>
      <c r="G15" s="41">
        <f>F15+Model_3!G59</f>
        <v>3389.4175368689998</v>
      </c>
      <c r="H15" s="41">
        <f>G15+Model_3!H59</f>
        <v>3954.3204596804999</v>
      </c>
      <c r="I15" s="41">
        <f>H15+Model_3!I59</f>
        <v>4519.2233824919995</v>
      </c>
      <c r="J15" s="41">
        <f>I15+Model_3!J59</f>
        <v>5084.1263053034991</v>
      </c>
      <c r="K15" s="41">
        <f>J15+Model_3!K59</f>
        <v>5084.1263053034991</v>
      </c>
      <c r="L15" s="41">
        <f>K15+Model_3!L59</f>
        <v>5084.1263053034991</v>
      </c>
      <c r="M15" s="41">
        <f>L15+Model_3!M59</f>
        <v>5084.1263053034991</v>
      </c>
      <c r="N15" s="41">
        <f>M15+Model_3!N59</f>
        <v>5084.1263053034991</v>
      </c>
      <c r="O15" s="41">
        <f>N15+Model_3!O59</f>
        <v>5084.1263053034991</v>
      </c>
      <c r="P15" s="41">
        <f>O15+Model_3!P59</f>
        <v>5084.1263053034991</v>
      </c>
      <c r="Q15" s="41">
        <f>P15+Model_3!Q59</f>
        <v>5084.1263053034991</v>
      </c>
      <c r="R15" s="41">
        <f>Q15+Model_3!R59</f>
        <v>5084.1263053034991</v>
      </c>
      <c r="S15" s="41">
        <f>R15+Model_3!S59</f>
        <v>5084.1263053034991</v>
      </c>
      <c r="T15" s="41">
        <f>S15+Model_3!T59</f>
        <v>5084.1263053034991</v>
      </c>
      <c r="U15" s="41">
        <f>T15+Model_3!U59</f>
        <v>5084.1263053034991</v>
      </c>
      <c r="V15" s="41">
        <f>U15+Model_3!V59</f>
        <v>5084.1263053034991</v>
      </c>
      <c r="W15" s="41">
        <f>V15+Model_3!W59</f>
        <v>5084.1263053034991</v>
      </c>
      <c r="X15" s="41">
        <f>W15+Model_3!X59</f>
        <v>5084.1263053034991</v>
      </c>
      <c r="Y15" s="41">
        <f>X15+Model_3!Y59</f>
        <v>5084.1263053034991</v>
      </c>
      <c r="Z15" s="41">
        <f>Y15+Model_3!Z59</f>
        <v>5084.1263053034991</v>
      </c>
      <c r="AA15" s="41">
        <f>Z15+Model_3!AA59</f>
        <v>5084.1263053034991</v>
      </c>
      <c r="AB15" s="41">
        <f>AA15+Model_3!AB59</f>
        <v>5084.1263053034991</v>
      </c>
      <c r="AC15" s="41">
        <f>AB15+Model_3!AC59</f>
        <v>5084.1263053034991</v>
      </c>
      <c r="AD15" s="41">
        <f>AC15+Model_3!AD59</f>
        <v>5084.1263053034991</v>
      </c>
      <c r="AE15" s="41">
        <f>AD15+Model_3!AE59</f>
        <v>5084.1263053034991</v>
      </c>
      <c r="AF15" s="41">
        <f>AE15+Model_3!AF59</f>
        <v>5084.1263053034991</v>
      </c>
      <c r="AG15" s="41">
        <f>AF15+Model_3!AG59</f>
        <v>5084.1263053034991</v>
      </c>
      <c r="AH15" s="41">
        <f>AG15+Model_3!AH59</f>
        <v>5084.1263053034991</v>
      </c>
      <c r="AI15" s="41">
        <f>AH15+Model_3!AI59</f>
        <v>5084.1263053034991</v>
      </c>
      <c r="AJ15" s="41">
        <f>AI15+Model_3!AJ59</f>
        <v>5084.1263053034991</v>
      </c>
      <c r="AK15" s="41">
        <f>AJ15+Model_3!AK59</f>
        <v>5084.1263053034991</v>
      </c>
      <c r="AL15" s="41">
        <f>AK15+Model_3!AL59</f>
        <v>5084.1263053034991</v>
      </c>
      <c r="AM15" s="41">
        <f>AL15+Model_3!AM59</f>
        <v>5084.1263053034991</v>
      </c>
      <c r="AN15" s="41">
        <f>AM15+Model_3!AN59</f>
        <v>5084.1263053034991</v>
      </c>
      <c r="AO15" s="41">
        <f>AN15+Model_3!AO59</f>
        <v>5084.1263053034991</v>
      </c>
      <c r="AP15" s="41">
        <f>AO15+Model_3!AP59</f>
        <v>5084.1263053034991</v>
      </c>
      <c r="AQ15" s="41">
        <f>AP15+Model_3!AQ59</f>
        <v>5084.1263053034991</v>
      </c>
      <c r="AR15" s="41">
        <f>AQ15+Model_3!AR59</f>
        <v>5084.1263053034991</v>
      </c>
      <c r="AS15" s="41">
        <f>AR15+Model_3!AS59</f>
        <v>5084.1263053034991</v>
      </c>
      <c r="AT15" s="41">
        <f>AS15+Model_3!AT59</f>
        <v>5084.1263053034991</v>
      </c>
      <c r="AU15" s="41">
        <f>AT15+Model_3!AU59</f>
        <v>5084.1263053034991</v>
      </c>
      <c r="AV15" s="41">
        <f>AU15+Model_3!AV59</f>
        <v>5084.1263053034991</v>
      </c>
      <c r="AW15" s="41">
        <f>AV15+Model_3!AW59</f>
        <v>5084.1263053034991</v>
      </c>
      <c r="AX15" s="41">
        <f>AW15+Model_3!AX59</f>
        <v>5084.1263053034991</v>
      </c>
      <c r="AY15" s="41">
        <f>AX15+Model_3!AY59</f>
        <v>5084.1263053034991</v>
      </c>
      <c r="AZ15" s="41"/>
      <c r="BA15" s="41"/>
      <c r="BB15" s="41"/>
    </row>
    <row r="16" spans="1:54" x14ac:dyDescent="0.45">
      <c r="A16" s="41" t="str">
        <f>Model_3!A60</f>
        <v>Maintenance after year 10 ($)</v>
      </c>
      <c r="B16" s="41">
        <f>Model_3!B60</f>
        <v>0</v>
      </c>
      <c r="C16" s="41">
        <f>B16+Model_3!C60</f>
        <v>0</v>
      </c>
      <c r="D16" s="41">
        <f>C16+Model_3!D60</f>
        <v>0</v>
      </c>
      <c r="E16" s="41">
        <f>D16+Model_3!E60</f>
        <v>0</v>
      </c>
      <c r="F16" s="41">
        <f>E16+Model_3!F60</f>
        <v>0</v>
      </c>
      <c r="G16" s="41">
        <f>F16+Model_3!G60</f>
        <v>0</v>
      </c>
      <c r="H16" s="41">
        <f>G16+Model_3!H60</f>
        <v>0</v>
      </c>
      <c r="I16" s="41">
        <f>H16+Model_3!I60</f>
        <v>0</v>
      </c>
      <c r="J16" s="41">
        <f>I16+Model_3!J60</f>
        <v>0</v>
      </c>
      <c r="K16" s="41">
        <f>J16+Model_3!K60</f>
        <v>137.28642864299997</v>
      </c>
      <c r="L16" s="41">
        <f>K16+Model_3!L60</f>
        <v>274.57285728599993</v>
      </c>
      <c r="M16" s="41">
        <f>L16+Model_3!M60</f>
        <v>411.8592859289999</v>
      </c>
      <c r="N16" s="41">
        <f>M16+Model_3!N60</f>
        <v>549.14571457199986</v>
      </c>
      <c r="O16" s="41">
        <f>N16+Model_3!O60</f>
        <v>686.43214321499977</v>
      </c>
      <c r="P16" s="41">
        <f>O16+Model_3!P60</f>
        <v>823.71857185799968</v>
      </c>
      <c r="Q16" s="41">
        <f>P16+Model_3!Q60</f>
        <v>961.00500050099959</v>
      </c>
      <c r="R16" s="41">
        <f>Q16+Model_3!R60</f>
        <v>1098.2914291439995</v>
      </c>
      <c r="S16" s="41">
        <f>R16+Model_3!S60</f>
        <v>1235.5778577869994</v>
      </c>
      <c r="T16" s="41">
        <f>S16+Model_3!T60</f>
        <v>1372.8642864299993</v>
      </c>
      <c r="U16" s="41">
        <f>T16+Model_3!U60</f>
        <v>1510.1507150729992</v>
      </c>
      <c r="V16" s="41">
        <f>U16+Model_3!V60</f>
        <v>1647.4371437159991</v>
      </c>
      <c r="W16" s="41">
        <f>V16+Model_3!W60</f>
        <v>1784.723572358999</v>
      </c>
      <c r="X16" s="41">
        <f>W16+Model_3!X60</f>
        <v>1922.0100010019989</v>
      </c>
      <c r="Y16" s="41">
        <f>X16+Model_3!Y60</f>
        <v>2059.2964296449991</v>
      </c>
      <c r="Z16" s="41">
        <f>Y16+Model_3!Z60</f>
        <v>2196.582858287999</v>
      </c>
      <c r="AA16" s="41">
        <f>Z16+Model_3!AA60</f>
        <v>2333.8692869309989</v>
      </c>
      <c r="AB16" s="41">
        <f>AA16+Model_3!AB60</f>
        <v>2471.1557155739988</v>
      </c>
      <c r="AC16" s="41">
        <f>AB16+Model_3!AC60</f>
        <v>2608.4421442169987</v>
      </c>
      <c r="AD16" s="41">
        <f>AC16+Model_3!AD60</f>
        <v>2745.7285728599986</v>
      </c>
      <c r="AE16" s="41">
        <f>AD16+Model_3!AE60</f>
        <v>2883.0150015029985</v>
      </c>
      <c r="AF16" s="41">
        <f>AE16+Model_3!AF60</f>
        <v>3020.3014301459984</v>
      </c>
      <c r="AG16" s="41">
        <f>AF16+Model_3!AG60</f>
        <v>3157.5878587889983</v>
      </c>
      <c r="AH16" s="41">
        <f>AG16+Model_3!AH60</f>
        <v>3294.8742874319983</v>
      </c>
      <c r="AI16" s="41">
        <f>AH16+Model_3!AI60</f>
        <v>3432.1607160749982</v>
      </c>
      <c r="AJ16" s="41">
        <f>AI16+Model_3!AJ60</f>
        <v>3569.4471447179981</v>
      </c>
      <c r="AK16" s="41">
        <f>AJ16+Model_3!AK60</f>
        <v>3706.733573360998</v>
      </c>
      <c r="AL16" s="41">
        <f>AK16+Model_3!AL60</f>
        <v>3844.0200020039979</v>
      </c>
      <c r="AM16" s="41">
        <f>AL16+Model_3!AM60</f>
        <v>3981.3064306469978</v>
      </c>
      <c r="AN16" s="41">
        <f>AM16+Model_3!AN60</f>
        <v>4118.5928592899982</v>
      </c>
      <c r="AO16" s="41">
        <f>AN16+Model_3!AO60</f>
        <v>4255.8792879329985</v>
      </c>
      <c r="AP16" s="41">
        <f>AO16+Model_3!AP60</f>
        <v>4393.1657165759989</v>
      </c>
      <c r="AQ16" s="41">
        <f>AP16+Model_3!AQ60</f>
        <v>4530.4521452189992</v>
      </c>
      <c r="AR16" s="41">
        <f>AQ16+Model_3!AR60</f>
        <v>4667.7385738619996</v>
      </c>
      <c r="AS16" s="41">
        <f>AR16+Model_3!AS60</f>
        <v>4805.025002505</v>
      </c>
      <c r="AT16" s="41">
        <f>AS16+Model_3!AT60</f>
        <v>4942.3114311480003</v>
      </c>
      <c r="AU16" s="41">
        <f>AT16+Model_3!AU60</f>
        <v>5079.5978597910007</v>
      </c>
      <c r="AV16" s="41">
        <f>AU16+Model_3!AV60</f>
        <v>5216.8842884340011</v>
      </c>
      <c r="AW16" s="41">
        <f>AV16+Model_3!AW60</f>
        <v>5354.1707170770014</v>
      </c>
      <c r="AX16" s="41">
        <f>AW16+Model_3!AX60</f>
        <v>5491.4571457200018</v>
      </c>
      <c r="AY16" s="41">
        <f>AX16+Model_3!AY60</f>
        <v>5628.7435743630022</v>
      </c>
      <c r="AZ16" s="41"/>
      <c r="BA16" s="41"/>
      <c r="BB16" s="41"/>
    </row>
    <row r="17" spans="1:54" x14ac:dyDescent="0.45">
      <c r="A17" s="41" t="str">
        <f>Model_3!A61</f>
        <v>GIS mapping and inventory assessment ($)</v>
      </c>
      <c r="B17" s="41">
        <f>Model_3!B61</f>
        <v>7500</v>
      </c>
      <c r="C17" s="41">
        <f>B17+Model_3!C61</f>
        <v>7500</v>
      </c>
      <c r="D17" s="41">
        <f>C17+Model_3!D61</f>
        <v>7500</v>
      </c>
      <c r="E17" s="41">
        <f>D17+Model_3!E61</f>
        <v>7500</v>
      </c>
      <c r="F17" s="41">
        <f>E17+Model_3!F61</f>
        <v>7500</v>
      </c>
      <c r="G17" s="41">
        <f>F17+Model_3!G61</f>
        <v>7500</v>
      </c>
      <c r="H17" s="41">
        <f>G17+Model_3!H61</f>
        <v>7500</v>
      </c>
      <c r="I17" s="41">
        <f>H17+Model_3!I61</f>
        <v>7500</v>
      </c>
      <c r="J17" s="41">
        <f>I17+Model_3!J61</f>
        <v>7500</v>
      </c>
      <c r="K17" s="41">
        <f>J17+Model_3!K61</f>
        <v>7500</v>
      </c>
      <c r="L17" s="41">
        <f>K17+Model_3!L61</f>
        <v>7500</v>
      </c>
      <c r="M17" s="41">
        <f>L17+Model_3!M61</f>
        <v>7500</v>
      </c>
      <c r="N17" s="41">
        <f>M17+Model_3!N61</f>
        <v>7500</v>
      </c>
      <c r="O17" s="41">
        <f>N17+Model_3!O61</f>
        <v>7500</v>
      </c>
      <c r="P17" s="41">
        <f>O17+Model_3!P61</f>
        <v>7500</v>
      </c>
      <c r="Q17" s="41">
        <f>P17+Model_3!Q61</f>
        <v>7500</v>
      </c>
      <c r="R17" s="41">
        <f>Q17+Model_3!R61</f>
        <v>7500</v>
      </c>
      <c r="S17" s="41">
        <f>R17+Model_3!S61</f>
        <v>7500</v>
      </c>
      <c r="T17" s="41">
        <f>S17+Model_3!T61</f>
        <v>7500</v>
      </c>
      <c r="U17" s="41">
        <f>T17+Model_3!U61</f>
        <v>7500</v>
      </c>
      <c r="V17" s="41">
        <f>U17+Model_3!V61</f>
        <v>7500</v>
      </c>
      <c r="W17" s="41">
        <f>V17+Model_3!W61</f>
        <v>7500</v>
      </c>
      <c r="X17" s="41">
        <f>W17+Model_3!X61</f>
        <v>7500</v>
      </c>
      <c r="Y17" s="41">
        <f>X17+Model_3!Y61</f>
        <v>7500</v>
      </c>
      <c r="Z17" s="41">
        <f>Y17+Model_3!Z61</f>
        <v>7500</v>
      </c>
      <c r="AA17" s="41">
        <f>Z17+Model_3!AA61</f>
        <v>7500</v>
      </c>
      <c r="AB17" s="41">
        <f>AA17+Model_3!AB61</f>
        <v>7500</v>
      </c>
      <c r="AC17" s="41">
        <f>AB17+Model_3!AC61</f>
        <v>7500</v>
      </c>
      <c r="AD17" s="41">
        <f>AC17+Model_3!AD61</f>
        <v>7500</v>
      </c>
      <c r="AE17" s="41">
        <f>AD17+Model_3!AE61</f>
        <v>7500</v>
      </c>
      <c r="AF17" s="41">
        <f>AE17+Model_3!AF61</f>
        <v>7500</v>
      </c>
      <c r="AG17" s="41">
        <f>AF17+Model_3!AG61</f>
        <v>7500</v>
      </c>
      <c r="AH17" s="41">
        <f>AG17+Model_3!AH61</f>
        <v>7500</v>
      </c>
      <c r="AI17" s="41">
        <f>AH17+Model_3!AI61</f>
        <v>7500</v>
      </c>
      <c r="AJ17" s="41">
        <f>AI17+Model_3!AJ61</f>
        <v>7500</v>
      </c>
      <c r="AK17" s="41">
        <f>AJ17+Model_3!AK61</f>
        <v>7500</v>
      </c>
      <c r="AL17" s="41">
        <f>AK17+Model_3!AL61</f>
        <v>7500</v>
      </c>
      <c r="AM17" s="41">
        <f>AL17+Model_3!AM61</f>
        <v>7500</v>
      </c>
      <c r="AN17" s="41">
        <f>AM17+Model_3!AN61</f>
        <v>7500</v>
      </c>
      <c r="AO17" s="41">
        <f>AN17+Model_3!AO61</f>
        <v>7500</v>
      </c>
      <c r="AP17" s="41">
        <f>AO17+Model_3!AP61</f>
        <v>7500</v>
      </c>
      <c r="AQ17" s="41">
        <f>AP17+Model_3!AQ61</f>
        <v>7500</v>
      </c>
      <c r="AR17" s="41">
        <f>AQ17+Model_3!AR61</f>
        <v>7500</v>
      </c>
      <c r="AS17" s="41">
        <f>AR17+Model_3!AS61</f>
        <v>7500</v>
      </c>
      <c r="AT17" s="41">
        <f>AS17+Model_3!AT61</f>
        <v>7500</v>
      </c>
      <c r="AU17" s="41">
        <f>AT17+Model_3!AU61</f>
        <v>7500</v>
      </c>
      <c r="AV17" s="41">
        <f>AU17+Model_3!AV61</f>
        <v>7500</v>
      </c>
      <c r="AW17" s="41">
        <f>AV17+Model_3!AW61</f>
        <v>7500</v>
      </c>
      <c r="AX17" s="41">
        <f>AW17+Model_3!AX61</f>
        <v>7500</v>
      </c>
      <c r="AY17" s="41">
        <f>AX17+Model_3!AY61</f>
        <v>7500</v>
      </c>
      <c r="AZ17" s="41"/>
      <c r="BA17" s="41"/>
      <c r="BB17" s="41"/>
    </row>
    <row r="18" spans="1:54" x14ac:dyDescent="0.45">
      <c r="A18" s="41" t="str">
        <f>Model_3!A62</f>
        <v>Visual tree inspection ($)</v>
      </c>
      <c r="B18" s="41">
        <f>Model_3!B62</f>
        <v>90</v>
      </c>
      <c r="C18" s="41">
        <f>B18+Model_3!C62</f>
        <v>180</v>
      </c>
      <c r="D18" s="41">
        <f>C18+Model_3!D62</f>
        <v>270</v>
      </c>
      <c r="E18" s="41">
        <f>D18+Model_3!E62</f>
        <v>360</v>
      </c>
      <c r="F18" s="41">
        <f>E18+Model_3!F62</f>
        <v>450</v>
      </c>
      <c r="G18" s="41">
        <f>F18+Model_3!G62</f>
        <v>540</v>
      </c>
      <c r="H18" s="41">
        <f>G18+Model_3!H62</f>
        <v>630</v>
      </c>
      <c r="I18" s="41">
        <f>H18+Model_3!I62</f>
        <v>720</v>
      </c>
      <c r="J18" s="41">
        <f>I18+Model_3!J62</f>
        <v>810</v>
      </c>
      <c r="K18" s="41">
        <f>J18+Model_3!K62</f>
        <v>810</v>
      </c>
      <c r="L18" s="41">
        <f>K18+Model_3!L62</f>
        <v>810</v>
      </c>
      <c r="M18" s="41">
        <f>L18+Model_3!M62</f>
        <v>810</v>
      </c>
      <c r="N18" s="41">
        <f>M18+Model_3!N62</f>
        <v>810</v>
      </c>
      <c r="O18" s="41">
        <f>N18+Model_3!O62</f>
        <v>810</v>
      </c>
      <c r="P18" s="41">
        <f>O18+Model_3!P62</f>
        <v>810</v>
      </c>
      <c r="Q18" s="41">
        <f>P18+Model_3!Q62</f>
        <v>810</v>
      </c>
      <c r="R18" s="41">
        <f>Q18+Model_3!R62</f>
        <v>810</v>
      </c>
      <c r="S18" s="41">
        <f>R18+Model_3!S62</f>
        <v>810</v>
      </c>
      <c r="T18" s="41">
        <f>S18+Model_3!T62</f>
        <v>810</v>
      </c>
      <c r="U18" s="41">
        <f>T18+Model_3!U62</f>
        <v>810</v>
      </c>
      <c r="V18" s="41">
        <f>U18+Model_3!V62</f>
        <v>810</v>
      </c>
      <c r="W18" s="41">
        <f>V18+Model_3!W62</f>
        <v>810</v>
      </c>
      <c r="X18" s="41">
        <f>W18+Model_3!X62</f>
        <v>810</v>
      </c>
      <c r="Y18" s="41">
        <f>X18+Model_3!Y62</f>
        <v>810</v>
      </c>
      <c r="Z18" s="41">
        <f>Y18+Model_3!Z62</f>
        <v>810</v>
      </c>
      <c r="AA18" s="41">
        <f>Z18+Model_3!AA62</f>
        <v>810</v>
      </c>
      <c r="AB18" s="41">
        <f>AA18+Model_3!AB62</f>
        <v>810</v>
      </c>
      <c r="AC18" s="41">
        <f>AB18+Model_3!AC62</f>
        <v>810</v>
      </c>
      <c r="AD18" s="41">
        <f>AC18+Model_3!AD62</f>
        <v>810</v>
      </c>
      <c r="AE18" s="41">
        <f>AD18+Model_3!AE62</f>
        <v>810</v>
      </c>
      <c r="AF18" s="41">
        <f>AE18+Model_3!AF62</f>
        <v>810</v>
      </c>
      <c r="AG18" s="41">
        <f>AF18+Model_3!AG62</f>
        <v>810</v>
      </c>
      <c r="AH18" s="41">
        <f>AG18+Model_3!AH62</f>
        <v>810</v>
      </c>
      <c r="AI18" s="41">
        <f>AH18+Model_3!AI62</f>
        <v>810</v>
      </c>
      <c r="AJ18" s="41">
        <f>AI18+Model_3!AJ62</f>
        <v>810</v>
      </c>
      <c r="AK18" s="41">
        <f>AJ18+Model_3!AK62</f>
        <v>810</v>
      </c>
      <c r="AL18" s="41">
        <f>AK18+Model_3!AL62</f>
        <v>810</v>
      </c>
      <c r="AM18" s="41">
        <f>AL18+Model_3!AM62</f>
        <v>810</v>
      </c>
      <c r="AN18" s="41">
        <f>AM18+Model_3!AN62</f>
        <v>810</v>
      </c>
      <c r="AO18" s="41">
        <f>AN18+Model_3!AO62</f>
        <v>810</v>
      </c>
      <c r="AP18" s="41">
        <f>AO18+Model_3!AP62</f>
        <v>810</v>
      </c>
      <c r="AQ18" s="41">
        <f>AP18+Model_3!AQ62</f>
        <v>810</v>
      </c>
      <c r="AR18" s="41">
        <f>AQ18+Model_3!AR62</f>
        <v>810</v>
      </c>
      <c r="AS18" s="41">
        <f>AR18+Model_3!AS62</f>
        <v>810</v>
      </c>
      <c r="AT18" s="41">
        <f>AS18+Model_3!AT62</f>
        <v>810</v>
      </c>
      <c r="AU18" s="41">
        <f>AT18+Model_3!AU62</f>
        <v>810</v>
      </c>
      <c r="AV18" s="41">
        <f>AU18+Model_3!AV62</f>
        <v>810</v>
      </c>
      <c r="AW18" s="41">
        <f>AV18+Model_3!AW62</f>
        <v>810</v>
      </c>
      <c r="AX18" s="41">
        <f>AW18+Model_3!AX62</f>
        <v>810</v>
      </c>
      <c r="AY18" s="41">
        <f>AX18+Model_3!AY62</f>
        <v>810</v>
      </c>
      <c r="AZ18" s="41"/>
      <c r="BA18" s="41"/>
      <c r="BB18" s="41"/>
    </row>
    <row r="19" spans="1:54" x14ac:dyDescent="0.45">
      <c r="A19" s="41" t="str">
        <f>Model_3!A63</f>
        <v>User specified cost item 3 ($/ year)</v>
      </c>
      <c r="B19" s="41">
        <f>Model_3!B63</f>
        <v>0</v>
      </c>
      <c r="C19" s="41">
        <f>B19+Model_3!C63</f>
        <v>0</v>
      </c>
      <c r="D19" s="41">
        <f>C19+Model_3!D63</f>
        <v>0</v>
      </c>
      <c r="E19" s="41">
        <f>D19+Model_3!E63</f>
        <v>0</v>
      </c>
      <c r="F19" s="41">
        <f>E19+Model_3!F63</f>
        <v>0</v>
      </c>
      <c r="G19" s="41">
        <f>F19+Model_3!G63</f>
        <v>0</v>
      </c>
      <c r="H19" s="41">
        <f>G19+Model_3!H63</f>
        <v>0</v>
      </c>
      <c r="I19" s="41">
        <f>H19+Model_3!I63</f>
        <v>0</v>
      </c>
      <c r="J19" s="41">
        <f>I19+Model_3!J63</f>
        <v>0</v>
      </c>
      <c r="K19" s="41">
        <f>J19+Model_3!K63</f>
        <v>0</v>
      </c>
      <c r="L19" s="41">
        <f>K19+Model_3!L63</f>
        <v>0</v>
      </c>
      <c r="M19" s="41">
        <f>L19+Model_3!M63</f>
        <v>0</v>
      </c>
      <c r="N19" s="41">
        <f>M19+Model_3!N63</f>
        <v>0</v>
      </c>
      <c r="O19" s="41">
        <f>N19+Model_3!O63</f>
        <v>0</v>
      </c>
      <c r="P19" s="41">
        <f>O19+Model_3!P63</f>
        <v>0</v>
      </c>
      <c r="Q19" s="41">
        <f>P19+Model_3!Q63</f>
        <v>0</v>
      </c>
      <c r="R19" s="41">
        <f>Q19+Model_3!R63</f>
        <v>0</v>
      </c>
      <c r="S19" s="41">
        <f>R19+Model_3!S63</f>
        <v>0</v>
      </c>
      <c r="T19" s="41">
        <f>S19+Model_3!T63</f>
        <v>0</v>
      </c>
      <c r="U19" s="41">
        <f>T19+Model_3!U63</f>
        <v>0</v>
      </c>
      <c r="V19" s="41">
        <f>U19+Model_3!V63</f>
        <v>0</v>
      </c>
      <c r="W19" s="41">
        <f>V19+Model_3!W63</f>
        <v>0</v>
      </c>
      <c r="X19" s="41">
        <f>W19+Model_3!X63</f>
        <v>0</v>
      </c>
      <c r="Y19" s="41">
        <f>X19+Model_3!Y63</f>
        <v>0</v>
      </c>
      <c r="Z19" s="41">
        <f>Y19+Model_3!Z63</f>
        <v>0</v>
      </c>
      <c r="AA19" s="41">
        <f>Z19+Model_3!AA63</f>
        <v>0</v>
      </c>
      <c r="AB19" s="41">
        <f>AA19+Model_3!AB63</f>
        <v>0</v>
      </c>
      <c r="AC19" s="41">
        <f>AB19+Model_3!AC63</f>
        <v>0</v>
      </c>
      <c r="AD19" s="41">
        <f>AC19+Model_3!AD63</f>
        <v>0</v>
      </c>
      <c r="AE19" s="41">
        <f>AD19+Model_3!AE63</f>
        <v>0</v>
      </c>
      <c r="AF19" s="41">
        <f>AE19+Model_3!AF63</f>
        <v>0</v>
      </c>
      <c r="AG19" s="41">
        <f>AF19+Model_3!AG63</f>
        <v>0</v>
      </c>
      <c r="AH19" s="41">
        <f>AG19+Model_3!AH63</f>
        <v>0</v>
      </c>
      <c r="AI19" s="41">
        <f>AH19+Model_3!AI63</f>
        <v>0</v>
      </c>
      <c r="AJ19" s="41">
        <f>AI19+Model_3!AJ63</f>
        <v>0</v>
      </c>
      <c r="AK19" s="41">
        <f>AJ19+Model_3!AK63</f>
        <v>0</v>
      </c>
      <c r="AL19" s="41">
        <f>AK19+Model_3!AL63</f>
        <v>0</v>
      </c>
      <c r="AM19" s="41">
        <f>AL19+Model_3!AM63</f>
        <v>0</v>
      </c>
      <c r="AN19" s="41">
        <f>AM19+Model_3!AN63</f>
        <v>0</v>
      </c>
      <c r="AO19" s="41">
        <f>AN19+Model_3!AO63</f>
        <v>0</v>
      </c>
      <c r="AP19" s="41">
        <f>AO19+Model_3!AP63</f>
        <v>0</v>
      </c>
      <c r="AQ19" s="41">
        <f>AP19+Model_3!AQ63</f>
        <v>0</v>
      </c>
      <c r="AR19" s="41">
        <f>AQ19+Model_3!AR63</f>
        <v>0</v>
      </c>
      <c r="AS19" s="41">
        <f>AR19+Model_3!AS63</f>
        <v>0</v>
      </c>
      <c r="AT19" s="41">
        <f>AS19+Model_3!AT63</f>
        <v>0</v>
      </c>
      <c r="AU19" s="41">
        <f>AT19+Model_3!AU63</f>
        <v>0</v>
      </c>
      <c r="AV19" s="41">
        <f>AU19+Model_3!AV63</f>
        <v>0</v>
      </c>
      <c r="AW19" s="41">
        <f>AV19+Model_3!AW63</f>
        <v>0</v>
      </c>
      <c r="AX19" s="41">
        <f>AW19+Model_3!AX63</f>
        <v>0</v>
      </c>
      <c r="AY19" s="41">
        <f>AX19+Model_3!AY63</f>
        <v>0</v>
      </c>
      <c r="AZ19" s="41"/>
      <c r="BA19" s="41"/>
      <c r="BB19" s="41"/>
    </row>
    <row r="20" spans="1:54" x14ac:dyDescent="0.45">
      <c r="A20" s="41" t="str">
        <f>Model_3!A64</f>
        <v>User specified cost item 4 ($/ year)</v>
      </c>
      <c r="B20" s="41">
        <f>Model_3!B64</f>
        <v>0</v>
      </c>
      <c r="C20" s="41">
        <f>B20+Model_3!C64</f>
        <v>0</v>
      </c>
      <c r="D20" s="41">
        <f>C20+Model_3!D64</f>
        <v>0</v>
      </c>
      <c r="E20" s="41">
        <f>D20+Model_3!E64</f>
        <v>0</v>
      </c>
      <c r="F20" s="41">
        <f>E20+Model_3!F64</f>
        <v>0</v>
      </c>
      <c r="G20" s="41">
        <f>F20+Model_3!G64</f>
        <v>0</v>
      </c>
      <c r="H20" s="41">
        <f>G20+Model_3!H64</f>
        <v>0</v>
      </c>
      <c r="I20" s="41">
        <f>H20+Model_3!I64</f>
        <v>0</v>
      </c>
      <c r="J20" s="41">
        <f>I20+Model_3!J64</f>
        <v>0</v>
      </c>
      <c r="K20" s="41">
        <f>J20+Model_3!K64</f>
        <v>0</v>
      </c>
      <c r="L20" s="41">
        <f>K20+Model_3!L64</f>
        <v>0</v>
      </c>
      <c r="M20" s="41">
        <f>L20+Model_3!M64</f>
        <v>0</v>
      </c>
      <c r="N20" s="41">
        <f>M20+Model_3!N64</f>
        <v>0</v>
      </c>
      <c r="O20" s="41">
        <f>N20+Model_3!O64</f>
        <v>0</v>
      </c>
      <c r="P20" s="41">
        <f>O20+Model_3!P64</f>
        <v>0</v>
      </c>
      <c r="Q20" s="41">
        <f>P20+Model_3!Q64</f>
        <v>0</v>
      </c>
      <c r="R20" s="41">
        <f>Q20+Model_3!R64</f>
        <v>0</v>
      </c>
      <c r="S20" s="41">
        <f>R20+Model_3!S64</f>
        <v>0</v>
      </c>
      <c r="T20" s="41">
        <f>S20+Model_3!T64</f>
        <v>0</v>
      </c>
      <c r="U20" s="41">
        <f>T20+Model_3!U64</f>
        <v>0</v>
      </c>
      <c r="V20" s="41">
        <f>U20+Model_3!V64</f>
        <v>0</v>
      </c>
      <c r="W20" s="41">
        <f>V20+Model_3!W64</f>
        <v>0</v>
      </c>
      <c r="X20" s="41">
        <f>W20+Model_3!X64</f>
        <v>0</v>
      </c>
      <c r="Y20" s="41">
        <f>X20+Model_3!Y64</f>
        <v>0</v>
      </c>
      <c r="Z20" s="41">
        <f>Y20+Model_3!Z64</f>
        <v>0</v>
      </c>
      <c r="AA20" s="41">
        <f>Z20+Model_3!AA64</f>
        <v>0</v>
      </c>
      <c r="AB20" s="41">
        <f>AA20+Model_3!AB64</f>
        <v>0</v>
      </c>
      <c r="AC20" s="41">
        <f>AB20+Model_3!AC64</f>
        <v>0</v>
      </c>
      <c r="AD20" s="41">
        <f>AC20+Model_3!AD64</f>
        <v>0</v>
      </c>
      <c r="AE20" s="41">
        <f>AD20+Model_3!AE64</f>
        <v>0</v>
      </c>
      <c r="AF20" s="41">
        <f>AE20+Model_3!AF64</f>
        <v>0</v>
      </c>
      <c r="AG20" s="41">
        <f>AF20+Model_3!AG64</f>
        <v>0</v>
      </c>
      <c r="AH20" s="41">
        <f>AG20+Model_3!AH64</f>
        <v>0</v>
      </c>
      <c r="AI20" s="41">
        <f>AH20+Model_3!AI64</f>
        <v>0</v>
      </c>
      <c r="AJ20" s="41">
        <f>AI20+Model_3!AJ64</f>
        <v>0</v>
      </c>
      <c r="AK20" s="41">
        <f>AJ20+Model_3!AK64</f>
        <v>0</v>
      </c>
      <c r="AL20" s="41">
        <f>AK20+Model_3!AL64</f>
        <v>0</v>
      </c>
      <c r="AM20" s="41">
        <f>AL20+Model_3!AM64</f>
        <v>0</v>
      </c>
      <c r="AN20" s="41">
        <f>AM20+Model_3!AN64</f>
        <v>0</v>
      </c>
      <c r="AO20" s="41">
        <f>AN20+Model_3!AO64</f>
        <v>0</v>
      </c>
      <c r="AP20" s="41">
        <f>AO20+Model_3!AP64</f>
        <v>0</v>
      </c>
      <c r="AQ20" s="41">
        <f>AP20+Model_3!AQ64</f>
        <v>0</v>
      </c>
      <c r="AR20" s="41">
        <f>AQ20+Model_3!AR64</f>
        <v>0</v>
      </c>
      <c r="AS20" s="41">
        <f>AR20+Model_3!AS64</f>
        <v>0</v>
      </c>
      <c r="AT20" s="41">
        <f>AS20+Model_3!AT64</f>
        <v>0</v>
      </c>
      <c r="AU20" s="41">
        <f>AT20+Model_3!AU64</f>
        <v>0</v>
      </c>
      <c r="AV20" s="41">
        <f>AU20+Model_3!AV64</f>
        <v>0</v>
      </c>
      <c r="AW20" s="41">
        <f>AV20+Model_3!AW64</f>
        <v>0</v>
      </c>
      <c r="AX20" s="41">
        <f>AW20+Model_3!AX64</f>
        <v>0</v>
      </c>
      <c r="AY20" s="41">
        <f>AX20+Model_3!AY64</f>
        <v>0</v>
      </c>
      <c r="AZ20" s="41"/>
      <c r="BA20" s="41"/>
      <c r="BB20" s="41"/>
    </row>
    <row r="21" spans="1:54" x14ac:dyDescent="0.45">
      <c r="A21" s="41" t="str">
        <f>Model_3!A65</f>
        <v>User specified cost item 5 ($/ year)</v>
      </c>
      <c r="B21" s="41">
        <f>Model_3!B65</f>
        <v>0</v>
      </c>
      <c r="C21" s="41">
        <f>B21+Model_3!C65</f>
        <v>0</v>
      </c>
      <c r="D21" s="41">
        <f>C21+Model_3!D65</f>
        <v>0</v>
      </c>
      <c r="E21" s="41">
        <f>D21+Model_3!E65</f>
        <v>0</v>
      </c>
      <c r="F21" s="41">
        <f>E21+Model_3!F65</f>
        <v>0</v>
      </c>
      <c r="G21" s="41">
        <f>F21+Model_3!G65</f>
        <v>0</v>
      </c>
      <c r="H21" s="41">
        <f>G21+Model_3!H65</f>
        <v>0</v>
      </c>
      <c r="I21" s="41">
        <f>H21+Model_3!I65</f>
        <v>0</v>
      </c>
      <c r="J21" s="41">
        <f>I21+Model_3!J65</f>
        <v>0</v>
      </c>
      <c r="K21" s="41">
        <f>J21+Model_3!K65</f>
        <v>0</v>
      </c>
      <c r="L21" s="41">
        <f>K21+Model_3!L65</f>
        <v>0</v>
      </c>
      <c r="M21" s="41">
        <f>L21+Model_3!M65</f>
        <v>0</v>
      </c>
      <c r="N21" s="41">
        <f>M21+Model_3!N65</f>
        <v>0</v>
      </c>
      <c r="O21" s="41">
        <f>N21+Model_3!O65</f>
        <v>0</v>
      </c>
      <c r="P21" s="41">
        <f>O21+Model_3!P65</f>
        <v>0</v>
      </c>
      <c r="Q21" s="41">
        <f>P21+Model_3!Q65</f>
        <v>0</v>
      </c>
      <c r="R21" s="41">
        <f>Q21+Model_3!R65</f>
        <v>0</v>
      </c>
      <c r="S21" s="41">
        <f>R21+Model_3!S65</f>
        <v>0</v>
      </c>
      <c r="T21" s="41">
        <f>S21+Model_3!T65</f>
        <v>0</v>
      </c>
      <c r="U21" s="41">
        <f>T21+Model_3!U65</f>
        <v>0</v>
      </c>
      <c r="V21" s="41">
        <f>U21+Model_3!V65</f>
        <v>0</v>
      </c>
      <c r="W21" s="41">
        <f>V21+Model_3!W65</f>
        <v>0</v>
      </c>
      <c r="X21" s="41">
        <f>W21+Model_3!X65</f>
        <v>0</v>
      </c>
      <c r="Y21" s="41">
        <f>X21+Model_3!Y65</f>
        <v>0</v>
      </c>
      <c r="Z21" s="41">
        <f>Y21+Model_3!Z65</f>
        <v>0</v>
      </c>
      <c r="AA21" s="41">
        <f>Z21+Model_3!AA65</f>
        <v>0</v>
      </c>
      <c r="AB21" s="41">
        <f>AA21+Model_3!AB65</f>
        <v>0</v>
      </c>
      <c r="AC21" s="41">
        <f>AB21+Model_3!AC65</f>
        <v>0</v>
      </c>
      <c r="AD21" s="41">
        <f>AC21+Model_3!AD65</f>
        <v>0</v>
      </c>
      <c r="AE21" s="41">
        <f>AD21+Model_3!AE65</f>
        <v>0</v>
      </c>
      <c r="AF21" s="41">
        <f>AE21+Model_3!AF65</f>
        <v>0</v>
      </c>
      <c r="AG21" s="41">
        <f>AF21+Model_3!AG65</f>
        <v>0</v>
      </c>
      <c r="AH21" s="41">
        <f>AG21+Model_3!AH65</f>
        <v>0</v>
      </c>
      <c r="AI21" s="41">
        <f>AH21+Model_3!AI65</f>
        <v>0</v>
      </c>
      <c r="AJ21" s="41">
        <f>AI21+Model_3!AJ65</f>
        <v>0</v>
      </c>
      <c r="AK21" s="41">
        <f>AJ21+Model_3!AK65</f>
        <v>0</v>
      </c>
      <c r="AL21" s="41">
        <f>AK21+Model_3!AL65</f>
        <v>0</v>
      </c>
      <c r="AM21" s="41">
        <f>AL21+Model_3!AM65</f>
        <v>0</v>
      </c>
      <c r="AN21" s="41">
        <f>AM21+Model_3!AN65</f>
        <v>0</v>
      </c>
      <c r="AO21" s="41">
        <f>AN21+Model_3!AO65</f>
        <v>0</v>
      </c>
      <c r="AP21" s="41">
        <f>AO21+Model_3!AP65</f>
        <v>0</v>
      </c>
      <c r="AQ21" s="41">
        <f>AP21+Model_3!AQ65</f>
        <v>0</v>
      </c>
      <c r="AR21" s="41">
        <f>AQ21+Model_3!AR65</f>
        <v>0</v>
      </c>
      <c r="AS21" s="41">
        <f>AR21+Model_3!AS65</f>
        <v>0</v>
      </c>
      <c r="AT21" s="41">
        <f>AS21+Model_3!AT65</f>
        <v>0</v>
      </c>
      <c r="AU21" s="41">
        <f>AT21+Model_3!AU65</f>
        <v>0</v>
      </c>
      <c r="AV21" s="41">
        <f>AU21+Model_3!AV65</f>
        <v>0</v>
      </c>
      <c r="AW21" s="41">
        <f>AV21+Model_3!AW65</f>
        <v>0</v>
      </c>
      <c r="AX21" s="41">
        <f>AW21+Model_3!AX65</f>
        <v>0</v>
      </c>
      <c r="AY21" s="41">
        <f>AX21+Model_3!AY65</f>
        <v>0</v>
      </c>
      <c r="AZ21" s="41"/>
      <c r="BA21" s="41"/>
      <c r="BB21" s="41"/>
    </row>
    <row r="22" spans="1:54" x14ac:dyDescent="0.45">
      <c r="A22" s="281" t="s">
        <v>298</v>
      </c>
      <c r="B22" s="282">
        <f t="shared" ref="B22:AG22" si="0">SUM(B5:B21)</f>
        <v>26614.9029228115</v>
      </c>
      <c r="C22" s="282">
        <f t="shared" si="0"/>
        <v>27589.805845622999</v>
      </c>
      <c r="D22" s="282">
        <f t="shared" si="0"/>
        <v>28564.708768434499</v>
      </c>
      <c r="E22" s="282">
        <f t="shared" si="0"/>
        <v>29539.611691245998</v>
      </c>
      <c r="F22" s="282">
        <f t="shared" si="0"/>
        <v>30514.514614057502</v>
      </c>
      <c r="G22" s="282">
        <f t="shared" si="0"/>
        <v>31489.417536869001</v>
      </c>
      <c r="H22" s="282">
        <f t="shared" si="0"/>
        <v>32464.320459680501</v>
      </c>
      <c r="I22" s="282">
        <f t="shared" si="0"/>
        <v>33439.223382491997</v>
      </c>
      <c r="J22" s="282">
        <f t="shared" si="0"/>
        <v>34414.1263053035</v>
      </c>
      <c r="K22" s="282">
        <f t="shared" si="0"/>
        <v>34871.412733946505</v>
      </c>
      <c r="L22" s="282">
        <f t="shared" si="0"/>
        <v>35008.699162589503</v>
      </c>
      <c r="M22" s="282">
        <f t="shared" si="0"/>
        <v>35145.9855912325</v>
      </c>
      <c r="N22" s="282">
        <f t="shared" si="0"/>
        <v>35283.272019875498</v>
      </c>
      <c r="O22" s="282">
        <f t="shared" si="0"/>
        <v>35420.558448518495</v>
      </c>
      <c r="P22" s="282">
        <f t="shared" si="0"/>
        <v>35557.8448771615</v>
      </c>
      <c r="Q22" s="282">
        <f t="shared" si="0"/>
        <v>35695.131305804498</v>
      </c>
      <c r="R22" s="282">
        <f t="shared" si="0"/>
        <v>35832.417734447503</v>
      </c>
      <c r="S22" s="282">
        <f t="shared" si="0"/>
        <v>35969.704163090501</v>
      </c>
      <c r="T22" s="282">
        <f t="shared" si="0"/>
        <v>36106.990591733498</v>
      </c>
      <c r="U22" s="282">
        <f t="shared" si="0"/>
        <v>36244.277020376496</v>
      </c>
      <c r="V22" s="282">
        <f t="shared" si="0"/>
        <v>36381.563449019501</v>
      </c>
      <c r="W22" s="282">
        <f t="shared" si="0"/>
        <v>36518.849877662498</v>
      </c>
      <c r="X22" s="282">
        <f t="shared" si="0"/>
        <v>36656.136306305503</v>
      </c>
      <c r="Y22" s="282">
        <f t="shared" si="0"/>
        <v>36793.422734948501</v>
      </c>
      <c r="Z22" s="282">
        <f t="shared" si="0"/>
        <v>36930.709163591499</v>
      </c>
      <c r="AA22" s="282">
        <f t="shared" si="0"/>
        <v>37067.995592234496</v>
      </c>
      <c r="AB22" s="282">
        <f t="shared" si="0"/>
        <v>37205.282020877494</v>
      </c>
      <c r="AC22" s="282">
        <f t="shared" si="0"/>
        <v>37342.568449520499</v>
      </c>
      <c r="AD22" s="282">
        <f t="shared" si="0"/>
        <v>37479.854878163504</v>
      </c>
      <c r="AE22" s="282">
        <f t="shared" si="0"/>
        <v>37617.141306806501</v>
      </c>
      <c r="AF22" s="282">
        <f t="shared" si="0"/>
        <v>37754.427735449499</v>
      </c>
      <c r="AG22" s="282">
        <f t="shared" si="0"/>
        <v>37891.714164092497</v>
      </c>
      <c r="AH22" s="282">
        <f t="shared" ref="AH22:AY22" si="1">SUM(AH5:AH21)</f>
        <v>38029.000592735494</v>
      </c>
      <c r="AI22" s="282">
        <f t="shared" si="1"/>
        <v>38166.287021378499</v>
      </c>
      <c r="AJ22" s="282">
        <f t="shared" si="1"/>
        <v>38303.573450021497</v>
      </c>
      <c r="AK22" s="282">
        <f t="shared" si="1"/>
        <v>38440.859878664502</v>
      </c>
      <c r="AL22" s="282">
        <f t="shared" si="1"/>
        <v>38578.146307307499</v>
      </c>
      <c r="AM22" s="282">
        <f t="shared" si="1"/>
        <v>38715.432735950497</v>
      </c>
      <c r="AN22" s="282">
        <f t="shared" si="1"/>
        <v>38852.719164593494</v>
      </c>
      <c r="AO22" s="282">
        <f t="shared" si="1"/>
        <v>38990.005593236499</v>
      </c>
      <c r="AP22" s="282">
        <f t="shared" si="1"/>
        <v>39127.292021879497</v>
      </c>
      <c r="AQ22" s="282">
        <f t="shared" si="1"/>
        <v>39264.578450522502</v>
      </c>
      <c r="AR22" s="282">
        <f t="shared" si="1"/>
        <v>39401.8648791655</v>
      </c>
      <c r="AS22" s="282">
        <f t="shared" si="1"/>
        <v>39539.151307808497</v>
      </c>
      <c r="AT22" s="282">
        <f t="shared" si="1"/>
        <v>39676.437736451502</v>
      </c>
      <c r="AU22" s="282">
        <f t="shared" si="1"/>
        <v>39813.7241650945</v>
      </c>
      <c r="AV22" s="282">
        <f t="shared" si="1"/>
        <v>39951.010593737505</v>
      </c>
      <c r="AW22" s="282">
        <f t="shared" si="1"/>
        <v>40088.297022380502</v>
      </c>
      <c r="AX22" s="282">
        <f t="shared" si="1"/>
        <v>40225.5834510235</v>
      </c>
      <c r="AY22" s="282">
        <f t="shared" si="1"/>
        <v>40362.869879666498</v>
      </c>
    </row>
    <row r="23" spans="1:54" x14ac:dyDescent="0.45"/>
    <row r="24" spans="1:54" x14ac:dyDescent="0.45"/>
    <row r="25" spans="1:54" x14ac:dyDescent="0.45"/>
    <row r="26" spans="1:54" x14ac:dyDescent="0.45"/>
    <row r="27" spans="1:54" x14ac:dyDescent="0.45"/>
    <row r="28" spans="1:54" x14ac:dyDescent="0.45"/>
    <row r="29" spans="1:54" x14ac:dyDescent="0.45"/>
    <row r="30" spans="1:54" x14ac:dyDescent="0.45"/>
    <row r="31" spans="1:54" x14ac:dyDescent="0.45"/>
    <row r="32" spans="1:54"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4" x14ac:dyDescent="0.45"/>
    <row r="45" x14ac:dyDescent="0.45"/>
    <row r="46" x14ac:dyDescent="0.45"/>
    <row r="47" x14ac:dyDescent="0.45"/>
    <row r="48" x14ac:dyDescent="0.45"/>
    <row r="49" spans="1:53" x14ac:dyDescent="0.45"/>
    <row r="50" spans="1:53" x14ac:dyDescent="0.45"/>
    <row r="51" spans="1:53" x14ac:dyDescent="0.45"/>
    <row r="52" spans="1:53" x14ac:dyDescent="0.45"/>
    <row r="53" spans="1:53" x14ac:dyDescent="0.45"/>
    <row r="54" spans="1:53" x14ac:dyDescent="0.45">
      <c r="A54" s="45" t="s">
        <v>211</v>
      </c>
    </row>
    <row r="55" spans="1:53" x14ac:dyDescent="0.45">
      <c r="B55" s="30" t="str">
        <f t="shared" ref="B55:AG55" si="2">B4</f>
        <v>Year 1</v>
      </c>
      <c r="C55" s="30" t="str">
        <f t="shared" si="2"/>
        <v>Year 2</v>
      </c>
      <c r="D55" s="30" t="str">
        <f t="shared" si="2"/>
        <v>Year 3</v>
      </c>
      <c r="E55" s="30" t="str">
        <f t="shared" si="2"/>
        <v>Year 4</v>
      </c>
      <c r="F55" s="30" t="str">
        <f t="shared" si="2"/>
        <v>Year 5</v>
      </c>
      <c r="G55" s="30" t="str">
        <f t="shared" si="2"/>
        <v>Year 6</v>
      </c>
      <c r="H55" s="30" t="str">
        <f t="shared" si="2"/>
        <v>Year 7</v>
      </c>
      <c r="I55" s="30" t="str">
        <f t="shared" si="2"/>
        <v>Year 8</v>
      </c>
      <c r="J55" s="30" t="str">
        <f t="shared" si="2"/>
        <v>Year 9</v>
      </c>
      <c r="K55" s="30" t="str">
        <f t="shared" si="2"/>
        <v>Year 10</v>
      </c>
      <c r="L55" s="30" t="str">
        <f t="shared" si="2"/>
        <v>Year 11</v>
      </c>
      <c r="M55" s="30" t="str">
        <f t="shared" si="2"/>
        <v>Year 12</v>
      </c>
      <c r="N55" s="30" t="str">
        <f t="shared" si="2"/>
        <v>Year 13</v>
      </c>
      <c r="O55" s="30" t="str">
        <f t="shared" si="2"/>
        <v>Year 14</v>
      </c>
      <c r="P55" s="30" t="str">
        <f t="shared" si="2"/>
        <v>Year 15</v>
      </c>
      <c r="Q55" s="30" t="str">
        <f t="shared" si="2"/>
        <v>Year 16</v>
      </c>
      <c r="R55" s="30" t="str">
        <f t="shared" si="2"/>
        <v>Year 17</v>
      </c>
      <c r="S55" s="30" t="str">
        <f t="shared" si="2"/>
        <v>Year 18</v>
      </c>
      <c r="T55" s="30" t="str">
        <f t="shared" si="2"/>
        <v>Year 19</v>
      </c>
      <c r="U55" s="30" t="str">
        <f t="shared" si="2"/>
        <v>Year 20</v>
      </c>
      <c r="V55" s="30" t="str">
        <f t="shared" si="2"/>
        <v>Year 21</v>
      </c>
      <c r="W55" s="30" t="str">
        <f t="shared" si="2"/>
        <v>Year 22</v>
      </c>
      <c r="X55" s="30" t="str">
        <f t="shared" si="2"/>
        <v>Year 23</v>
      </c>
      <c r="Y55" s="30" t="str">
        <f t="shared" si="2"/>
        <v>Year 24</v>
      </c>
      <c r="Z55" s="30" t="str">
        <f t="shared" si="2"/>
        <v>Year 25</v>
      </c>
      <c r="AA55" s="30" t="str">
        <f t="shared" si="2"/>
        <v>Year 26</v>
      </c>
      <c r="AB55" s="30" t="str">
        <f t="shared" si="2"/>
        <v>Year 27</v>
      </c>
      <c r="AC55" s="30" t="str">
        <f t="shared" si="2"/>
        <v>Year 28</v>
      </c>
      <c r="AD55" s="30" t="str">
        <f t="shared" si="2"/>
        <v>Year 29</v>
      </c>
      <c r="AE55" s="30" t="str">
        <f t="shared" si="2"/>
        <v>Year 30</v>
      </c>
      <c r="AF55" s="30" t="str">
        <f t="shared" si="2"/>
        <v>Year 31</v>
      </c>
      <c r="AG55" s="30" t="str">
        <f t="shared" si="2"/>
        <v>Year 32</v>
      </c>
      <c r="AH55" s="30" t="str">
        <f t="shared" ref="AH55:AY55" si="3">AH4</f>
        <v>Year 33</v>
      </c>
      <c r="AI55" s="30" t="str">
        <f t="shared" si="3"/>
        <v>Year 34</v>
      </c>
      <c r="AJ55" s="30" t="str">
        <f t="shared" si="3"/>
        <v>Year 35</v>
      </c>
      <c r="AK55" s="30" t="str">
        <f t="shared" si="3"/>
        <v>Year 36</v>
      </c>
      <c r="AL55" s="30" t="str">
        <f t="shared" si="3"/>
        <v>Year 37</v>
      </c>
      <c r="AM55" s="30" t="str">
        <f t="shared" si="3"/>
        <v>Year 38</v>
      </c>
      <c r="AN55" s="30" t="str">
        <f t="shared" si="3"/>
        <v>Year 39</v>
      </c>
      <c r="AO55" s="30" t="str">
        <f t="shared" si="3"/>
        <v>Year 40</v>
      </c>
      <c r="AP55" s="30" t="str">
        <f t="shared" si="3"/>
        <v>Year 41</v>
      </c>
      <c r="AQ55" s="30" t="str">
        <f t="shared" si="3"/>
        <v>Year 42</v>
      </c>
      <c r="AR55" s="30" t="str">
        <f t="shared" si="3"/>
        <v>Year 43</v>
      </c>
      <c r="AS55" s="30" t="str">
        <f t="shared" si="3"/>
        <v>Year 44</v>
      </c>
      <c r="AT55" s="30" t="str">
        <f t="shared" si="3"/>
        <v>Year 45</v>
      </c>
      <c r="AU55" s="30" t="str">
        <f t="shared" si="3"/>
        <v>Year 46</v>
      </c>
      <c r="AV55" s="30" t="str">
        <f t="shared" si="3"/>
        <v>Year 47</v>
      </c>
      <c r="AW55" s="30" t="str">
        <f t="shared" si="3"/>
        <v>Year 48</v>
      </c>
      <c r="AX55" s="30" t="str">
        <f t="shared" si="3"/>
        <v>Year 49</v>
      </c>
      <c r="AY55" s="30" t="str">
        <f t="shared" si="3"/>
        <v>Year 50</v>
      </c>
    </row>
    <row r="56" spans="1:53" x14ac:dyDescent="0.45">
      <c r="A56" s="41" t="str">
        <f t="shared" ref="A56:A72" si="4">A5</f>
        <v>Direct seeding ($)</v>
      </c>
      <c r="B56" s="280">
        <f>IFERROR(B5/Dashboard_3!$H$6,0)</f>
        <v>0</v>
      </c>
      <c r="C56" s="280">
        <f>IFERROR(C5/Dashboard_3!$H$6,0)</f>
        <v>0</v>
      </c>
      <c r="D56" s="280">
        <f>IFERROR(D5/Dashboard_3!$H$6,0)</f>
        <v>0</v>
      </c>
      <c r="E56" s="280">
        <f>IFERROR(E5/Dashboard_3!$H$6,0)</f>
        <v>0</v>
      </c>
      <c r="F56" s="280">
        <f>IFERROR(F5/Dashboard_3!$H$6,0)</f>
        <v>0</v>
      </c>
      <c r="G56" s="280">
        <f>IFERROR(G5/Dashboard_3!$H$6,0)</f>
        <v>0</v>
      </c>
      <c r="H56" s="280">
        <f>IFERROR(H5/Dashboard_3!$H$6,0)</f>
        <v>0</v>
      </c>
      <c r="I56" s="280">
        <f>IFERROR(I5/Dashboard_3!$H$6,0)</f>
        <v>0</v>
      </c>
      <c r="J56" s="280">
        <f>IFERROR(J5/Dashboard_3!$H$6,0)</f>
        <v>0</v>
      </c>
      <c r="K56" s="280">
        <f>IFERROR(K5/Dashboard_3!$H$6,0)</f>
        <v>0</v>
      </c>
      <c r="L56" s="280">
        <f>IFERROR(L5/Dashboard_3!$H$6,0)</f>
        <v>0</v>
      </c>
      <c r="M56" s="280">
        <f>IFERROR(M5/Dashboard_3!$H$6,0)</f>
        <v>0</v>
      </c>
      <c r="N56" s="280">
        <f>IFERROR(N5/Dashboard_3!$H$6,0)</f>
        <v>0</v>
      </c>
      <c r="O56" s="280">
        <f>IFERROR(O5/Dashboard_3!$H$6,0)</f>
        <v>0</v>
      </c>
      <c r="P56" s="280">
        <f>IFERROR(P5/Dashboard_3!$H$6,0)</f>
        <v>0</v>
      </c>
      <c r="Q56" s="280">
        <f>IFERROR(Q5/Dashboard_3!$H$6,0)</f>
        <v>0</v>
      </c>
      <c r="R56" s="280">
        <f>IFERROR(R5/Dashboard_3!$H$6,0)</f>
        <v>0</v>
      </c>
      <c r="S56" s="280">
        <f>IFERROR(S5/Dashboard_3!$H$6,0)</f>
        <v>0</v>
      </c>
      <c r="T56" s="280">
        <f>IFERROR(T5/Dashboard_3!$H$6,0)</f>
        <v>0</v>
      </c>
      <c r="U56" s="280">
        <f>IFERROR(U5/Dashboard_3!$H$6,0)</f>
        <v>0</v>
      </c>
      <c r="V56" s="280">
        <f>IFERROR(V5/Dashboard_3!$H$6,0)</f>
        <v>0</v>
      </c>
      <c r="W56" s="280">
        <f>IFERROR(W5/Dashboard_3!$H$6,0)</f>
        <v>0</v>
      </c>
      <c r="X56" s="280">
        <f>IFERROR(X5/Dashboard_3!$H$6,0)</f>
        <v>0</v>
      </c>
      <c r="Y56" s="280">
        <f>IFERROR(Y5/Dashboard_3!$H$6,0)</f>
        <v>0</v>
      </c>
      <c r="Z56" s="280">
        <f>IFERROR(Z5/Dashboard_3!$H$6,0)</f>
        <v>0</v>
      </c>
      <c r="AA56" s="280">
        <f>IFERROR(AA5/Dashboard_3!$H$6,0)</f>
        <v>0</v>
      </c>
      <c r="AB56" s="280">
        <f>IFERROR(AB5/Dashboard_3!$H$6,0)</f>
        <v>0</v>
      </c>
      <c r="AC56" s="280">
        <f>IFERROR(AC5/Dashboard_3!$H$6,0)</f>
        <v>0</v>
      </c>
      <c r="AD56" s="280">
        <f>IFERROR(AD5/Dashboard_3!$H$6,0)</f>
        <v>0</v>
      </c>
      <c r="AE56" s="280">
        <f>IFERROR(AE5/Dashboard_3!$H$6,0)</f>
        <v>0</v>
      </c>
      <c r="AF56" s="280">
        <f>IFERROR(AF5/Dashboard_3!$H$6,0)</f>
        <v>0</v>
      </c>
      <c r="AG56" s="280">
        <f>IFERROR(AG5/Dashboard_3!$H$6,0)</f>
        <v>0</v>
      </c>
      <c r="AH56" s="280">
        <f>IFERROR(AH5/Dashboard_3!$H$6,0)</f>
        <v>0</v>
      </c>
      <c r="AI56" s="280">
        <f>IFERROR(AI5/Dashboard_3!$H$6,0)</f>
        <v>0</v>
      </c>
      <c r="AJ56" s="280">
        <f>IFERROR(AJ5/Dashboard_3!$H$6,0)</f>
        <v>0</v>
      </c>
      <c r="AK56" s="280">
        <f>IFERROR(AK5/Dashboard_3!$H$6,0)</f>
        <v>0</v>
      </c>
      <c r="AL56" s="280">
        <f>IFERROR(AL5/Dashboard_3!$H$6,0)</f>
        <v>0</v>
      </c>
      <c r="AM56" s="280">
        <f>IFERROR(AM5/Dashboard_3!$H$6,0)</f>
        <v>0</v>
      </c>
      <c r="AN56" s="280">
        <f>IFERROR(AN5/Dashboard_3!$H$6,0)</f>
        <v>0</v>
      </c>
      <c r="AO56" s="280">
        <f>IFERROR(AO5/Dashboard_3!$H$6,0)</f>
        <v>0</v>
      </c>
      <c r="AP56" s="280">
        <f>IFERROR(AP5/Dashboard_3!$H$6,0)</f>
        <v>0</v>
      </c>
      <c r="AQ56" s="280">
        <f>IFERROR(AQ5/Dashboard_3!$H$6,0)</f>
        <v>0</v>
      </c>
      <c r="AR56" s="280">
        <f>IFERROR(AR5/Dashboard_3!$H$6,0)</f>
        <v>0</v>
      </c>
      <c r="AS56" s="280">
        <f>IFERROR(AS5/Dashboard_3!$H$6,0)</f>
        <v>0</v>
      </c>
      <c r="AT56" s="280">
        <f>IFERROR(AT5/Dashboard_3!$H$6,0)</f>
        <v>0</v>
      </c>
      <c r="AU56" s="280">
        <f>IFERROR(AU5/Dashboard_3!$H$6,0)</f>
        <v>0</v>
      </c>
      <c r="AV56" s="280">
        <f>IFERROR(AV5/Dashboard_3!$H$6,0)</f>
        <v>0</v>
      </c>
      <c r="AW56" s="280">
        <f>IFERROR(AW5/Dashboard_3!$H$6,0)</f>
        <v>0</v>
      </c>
      <c r="AX56" s="280">
        <f>IFERROR(AX5/Dashboard_3!$H$6,0)</f>
        <v>0</v>
      </c>
      <c r="AY56" s="280">
        <f>IFERROR(AY5/Dashboard_3!$H$6,0)</f>
        <v>0</v>
      </c>
      <c r="AZ56" s="180"/>
      <c r="BA56" s="180"/>
    </row>
    <row r="57" spans="1:53" x14ac:dyDescent="0.45">
      <c r="A57" s="41" t="str">
        <f t="shared" si="4"/>
        <v>Tubestock supply and planting ($)</v>
      </c>
      <c r="B57" s="280">
        <f>IFERROR(B6/Dashboard_3!$H$6,0)</f>
        <v>3000</v>
      </c>
      <c r="C57" s="280">
        <f>IFERROR(C6/Dashboard_3!$H$6,0)</f>
        <v>3000</v>
      </c>
      <c r="D57" s="280">
        <f>IFERROR(D6/Dashboard_3!$H$6,0)</f>
        <v>3000</v>
      </c>
      <c r="E57" s="280">
        <f>IFERROR(E6/Dashboard_3!$H$6,0)</f>
        <v>3000</v>
      </c>
      <c r="F57" s="280">
        <f>IFERROR(F6/Dashboard_3!$H$6,0)</f>
        <v>3000</v>
      </c>
      <c r="G57" s="280">
        <f>IFERROR(G6/Dashboard_3!$H$6,0)</f>
        <v>3000</v>
      </c>
      <c r="H57" s="280">
        <f>IFERROR(H6/Dashboard_3!$H$6,0)</f>
        <v>3000</v>
      </c>
      <c r="I57" s="280">
        <f>IFERROR(I6/Dashboard_3!$H$6,0)</f>
        <v>3000</v>
      </c>
      <c r="J57" s="280">
        <f>IFERROR(J6/Dashboard_3!$H$6,0)</f>
        <v>3000</v>
      </c>
      <c r="K57" s="280">
        <f>IFERROR(K6/Dashboard_3!$H$6,0)</f>
        <v>3000</v>
      </c>
      <c r="L57" s="280">
        <f>IFERROR(L6/Dashboard_3!$H$6,0)</f>
        <v>3000</v>
      </c>
      <c r="M57" s="280">
        <f>IFERROR(M6/Dashboard_3!$H$6,0)</f>
        <v>3000</v>
      </c>
      <c r="N57" s="280">
        <f>IFERROR(N6/Dashboard_3!$H$6,0)</f>
        <v>3000</v>
      </c>
      <c r="O57" s="280">
        <f>IFERROR(O6/Dashboard_3!$H$6,0)</f>
        <v>3000</v>
      </c>
      <c r="P57" s="280">
        <f>IFERROR(P6/Dashboard_3!$H$6,0)</f>
        <v>3000</v>
      </c>
      <c r="Q57" s="280">
        <f>IFERROR(Q6/Dashboard_3!$H$6,0)</f>
        <v>3000</v>
      </c>
      <c r="R57" s="280">
        <f>IFERROR(R6/Dashboard_3!$H$6,0)</f>
        <v>3000</v>
      </c>
      <c r="S57" s="280">
        <f>IFERROR(S6/Dashboard_3!$H$6,0)</f>
        <v>3000</v>
      </c>
      <c r="T57" s="280">
        <f>IFERROR(T6/Dashboard_3!$H$6,0)</f>
        <v>3000</v>
      </c>
      <c r="U57" s="280">
        <f>IFERROR(U6/Dashboard_3!$H$6,0)</f>
        <v>3000</v>
      </c>
      <c r="V57" s="280">
        <f>IFERROR(V6/Dashboard_3!$H$6,0)</f>
        <v>3000</v>
      </c>
      <c r="W57" s="280">
        <f>IFERROR(W6/Dashboard_3!$H$6,0)</f>
        <v>3000</v>
      </c>
      <c r="X57" s="280">
        <f>IFERROR(X6/Dashboard_3!$H$6,0)</f>
        <v>3000</v>
      </c>
      <c r="Y57" s="280">
        <f>IFERROR(Y6/Dashboard_3!$H$6,0)</f>
        <v>3000</v>
      </c>
      <c r="Z57" s="280">
        <f>IFERROR(Z6/Dashboard_3!$H$6,0)</f>
        <v>3000</v>
      </c>
      <c r="AA57" s="280">
        <f>IFERROR(AA6/Dashboard_3!$H$6,0)</f>
        <v>3000</v>
      </c>
      <c r="AB57" s="280">
        <f>IFERROR(AB6/Dashboard_3!$H$6,0)</f>
        <v>3000</v>
      </c>
      <c r="AC57" s="280">
        <f>IFERROR(AC6/Dashboard_3!$H$6,0)</f>
        <v>3000</v>
      </c>
      <c r="AD57" s="280">
        <f>IFERROR(AD6/Dashboard_3!$H$6,0)</f>
        <v>3000</v>
      </c>
      <c r="AE57" s="280">
        <f>IFERROR(AE6/Dashboard_3!$H$6,0)</f>
        <v>3000</v>
      </c>
      <c r="AF57" s="280">
        <f>IFERROR(AF6/Dashboard_3!$H$6,0)</f>
        <v>3000</v>
      </c>
      <c r="AG57" s="280">
        <f>IFERROR(AG6/Dashboard_3!$H$6,0)</f>
        <v>3000</v>
      </c>
      <c r="AH57" s="280">
        <f>IFERROR(AH6/Dashboard_3!$H$6,0)</f>
        <v>3000</v>
      </c>
      <c r="AI57" s="280">
        <f>IFERROR(AI6/Dashboard_3!$H$6,0)</f>
        <v>3000</v>
      </c>
      <c r="AJ57" s="280">
        <f>IFERROR(AJ6/Dashboard_3!$H$6,0)</f>
        <v>3000</v>
      </c>
      <c r="AK57" s="280">
        <f>IFERROR(AK6/Dashboard_3!$H$6,0)</f>
        <v>3000</v>
      </c>
      <c r="AL57" s="280">
        <f>IFERROR(AL6/Dashboard_3!$H$6,0)</f>
        <v>3000</v>
      </c>
      <c r="AM57" s="280">
        <f>IFERROR(AM6/Dashboard_3!$H$6,0)</f>
        <v>3000</v>
      </c>
      <c r="AN57" s="280">
        <f>IFERROR(AN6/Dashboard_3!$H$6,0)</f>
        <v>3000</v>
      </c>
      <c r="AO57" s="280">
        <f>IFERROR(AO6/Dashboard_3!$H$6,0)</f>
        <v>3000</v>
      </c>
      <c r="AP57" s="280">
        <f>IFERROR(AP6/Dashboard_3!$H$6,0)</f>
        <v>3000</v>
      </c>
      <c r="AQ57" s="280">
        <f>IFERROR(AQ6/Dashboard_3!$H$6,0)</f>
        <v>3000</v>
      </c>
      <c r="AR57" s="280">
        <f>IFERROR(AR6/Dashboard_3!$H$6,0)</f>
        <v>3000</v>
      </c>
      <c r="AS57" s="280">
        <f>IFERROR(AS6/Dashboard_3!$H$6,0)</f>
        <v>3000</v>
      </c>
      <c r="AT57" s="280">
        <f>IFERROR(AT6/Dashboard_3!$H$6,0)</f>
        <v>3000</v>
      </c>
      <c r="AU57" s="280">
        <f>IFERROR(AU6/Dashboard_3!$H$6,0)</f>
        <v>3000</v>
      </c>
      <c r="AV57" s="280">
        <f>IFERROR(AV6/Dashboard_3!$H$6,0)</f>
        <v>3000</v>
      </c>
      <c r="AW57" s="280">
        <f>IFERROR(AW6/Dashboard_3!$H$6,0)</f>
        <v>3000</v>
      </c>
      <c r="AX57" s="280">
        <f>IFERROR(AX6/Dashboard_3!$H$6,0)</f>
        <v>3000</v>
      </c>
      <c r="AY57" s="280">
        <f>IFERROR(AY6/Dashboard_3!$H$6,0)</f>
        <v>3000</v>
      </c>
      <c r="AZ57" s="180"/>
      <c r="BA57" s="180"/>
    </row>
    <row r="58" spans="1:53" x14ac:dyDescent="0.45">
      <c r="A58" s="41" t="str">
        <f t="shared" si="4"/>
        <v>Tubestock tree guards / protection sleeve</v>
      </c>
      <c r="B58" s="280">
        <f>IFERROR(B7/Dashboard_3!$H$6,0)</f>
        <v>500</v>
      </c>
      <c r="C58" s="280">
        <f>IFERROR(C7/Dashboard_3!$H$6,0)</f>
        <v>500</v>
      </c>
      <c r="D58" s="280">
        <f>IFERROR(D7/Dashboard_3!$H$6,0)</f>
        <v>500</v>
      </c>
      <c r="E58" s="280">
        <f>IFERROR(E7/Dashboard_3!$H$6,0)</f>
        <v>500</v>
      </c>
      <c r="F58" s="280">
        <f>IFERROR(F7/Dashboard_3!$H$6,0)</f>
        <v>500</v>
      </c>
      <c r="G58" s="280">
        <f>IFERROR(G7/Dashboard_3!$H$6,0)</f>
        <v>500</v>
      </c>
      <c r="H58" s="280">
        <f>IFERROR(H7/Dashboard_3!$H$6,0)</f>
        <v>500</v>
      </c>
      <c r="I58" s="280">
        <f>IFERROR(I7/Dashboard_3!$H$6,0)</f>
        <v>500</v>
      </c>
      <c r="J58" s="280">
        <f>IFERROR(J7/Dashboard_3!$H$6,0)</f>
        <v>500</v>
      </c>
      <c r="K58" s="280">
        <f>IFERROR(K7/Dashboard_3!$H$6,0)</f>
        <v>500</v>
      </c>
      <c r="L58" s="280">
        <f>IFERROR(L7/Dashboard_3!$H$6,0)</f>
        <v>500</v>
      </c>
      <c r="M58" s="280">
        <f>IFERROR(M7/Dashboard_3!$H$6,0)</f>
        <v>500</v>
      </c>
      <c r="N58" s="280">
        <f>IFERROR(N7/Dashboard_3!$H$6,0)</f>
        <v>500</v>
      </c>
      <c r="O58" s="280">
        <f>IFERROR(O7/Dashboard_3!$H$6,0)</f>
        <v>500</v>
      </c>
      <c r="P58" s="280">
        <f>IFERROR(P7/Dashboard_3!$H$6,0)</f>
        <v>500</v>
      </c>
      <c r="Q58" s="280">
        <f>IFERROR(Q7/Dashboard_3!$H$6,0)</f>
        <v>500</v>
      </c>
      <c r="R58" s="280">
        <f>IFERROR(R7/Dashboard_3!$H$6,0)</f>
        <v>500</v>
      </c>
      <c r="S58" s="280">
        <f>IFERROR(S7/Dashboard_3!$H$6,0)</f>
        <v>500</v>
      </c>
      <c r="T58" s="280">
        <f>IFERROR(T7/Dashboard_3!$H$6,0)</f>
        <v>500</v>
      </c>
      <c r="U58" s="280">
        <f>IFERROR(U7/Dashboard_3!$H$6,0)</f>
        <v>500</v>
      </c>
      <c r="V58" s="280">
        <f>IFERROR(V7/Dashboard_3!$H$6,0)</f>
        <v>500</v>
      </c>
      <c r="W58" s="280">
        <f>IFERROR(W7/Dashboard_3!$H$6,0)</f>
        <v>500</v>
      </c>
      <c r="X58" s="280">
        <f>IFERROR(X7/Dashboard_3!$H$6,0)</f>
        <v>500</v>
      </c>
      <c r="Y58" s="280">
        <f>IFERROR(Y7/Dashboard_3!$H$6,0)</f>
        <v>500</v>
      </c>
      <c r="Z58" s="280">
        <f>IFERROR(Z7/Dashboard_3!$H$6,0)</f>
        <v>500</v>
      </c>
      <c r="AA58" s="280">
        <f>IFERROR(AA7/Dashboard_3!$H$6,0)</f>
        <v>500</v>
      </c>
      <c r="AB58" s="280">
        <f>IFERROR(AB7/Dashboard_3!$H$6,0)</f>
        <v>500</v>
      </c>
      <c r="AC58" s="280">
        <f>IFERROR(AC7/Dashboard_3!$H$6,0)</f>
        <v>500</v>
      </c>
      <c r="AD58" s="280">
        <f>IFERROR(AD7/Dashboard_3!$H$6,0)</f>
        <v>500</v>
      </c>
      <c r="AE58" s="280">
        <f>IFERROR(AE7/Dashboard_3!$H$6,0)</f>
        <v>500</v>
      </c>
      <c r="AF58" s="280">
        <f>IFERROR(AF7/Dashboard_3!$H$6,0)</f>
        <v>500</v>
      </c>
      <c r="AG58" s="280">
        <f>IFERROR(AG7/Dashboard_3!$H$6,0)</f>
        <v>500</v>
      </c>
      <c r="AH58" s="280">
        <f>IFERROR(AH7/Dashboard_3!$H$6,0)</f>
        <v>500</v>
      </c>
      <c r="AI58" s="280">
        <f>IFERROR(AI7/Dashboard_3!$H$6,0)</f>
        <v>500</v>
      </c>
      <c r="AJ58" s="280">
        <f>IFERROR(AJ7/Dashboard_3!$H$6,0)</f>
        <v>500</v>
      </c>
      <c r="AK58" s="280">
        <f>IFERROR(AK7/Dashboard_3!$H$6,0)</f>
        <v>500</v>
      </c>
      <c r="AL58" s="280">
        <f>IFERROR(AL7/Dashboard_3!$H$6,0)</f>
        <v>500</v>
      </c>
      <c r="AM58" s="280">
        <f>IFERROR(AM7/Dashboard_3!$H$6,0)</f>
        <v>500</v>
      </c>
      <c r="AN58" s="280">
        <f>IFERROR(AN7/Dashboard_3!$H$6,0)</f>
        <v>500</v>
      </c>
      <c r="AO58" s="280">
        <f>IFERROR(AO7/Dashboard_3!$H$6,0)</f>
        <v>500</v>
      </c>
      <c r="AP58" s="280">
        <f>IFERROR(AP7/Dashboard_3!$H$6,0)</f>
        <v>500</v>
      </c>
      <c r="AQ58" s="280">
        <f>IFERROR(AQ7/Dashboard_3!$H$6,0)</f>
        <v>500</v>
      </c>
      <c r="AR58" s="280">
        <f>IFERROR(AR7/Dashboard_3!$H$6,0)</f>
        <v>500</v>
      </c>
      <c r="AS58" s="280">
        <f>IFERROR(AS7/Dashboard_3!$H$6,0)</f>
        <v>500</v>
      </c>
      <c r="AT58" s="280">
        <f>IFERROR(AT7/Dashboard_3!$H$6,0)</f>
        <v>500</v>
      </c>
      <c r="AU58" s="280">
        <f>IFERROR(AU7/Dashboard_3!$H$6,0)</f>
        <v>500</v>
      </c>
      <c r="AV58" s="280">
        <f>IFERROR(AV7/Dashboard_3!$H$6,0)</f>
        <v>500</v>
      </c>
      <c r="AW58" s="280">
        <f>IFERROR(AW7/Dashboard_3!$H$6,0)</f>
        <v>500</v>
      </c>
      <c r="AX58" s="280">
        <f>IFERROR(AX7/Dashboard_3!$H$6,0)</f>
        <v>500</v>
      </c>
      <c r="AY58" s="280">
        <f>IFERROR(AY7/Dashboard_3!$H$6,0)</f>
        <v>500</v>
      </c>
      <c r="AZ58" s="180"/>
      <c r="BA58" s="180"/>
    </row>
    <row r="59" spans="1:53" x14ac:dyDescent="0.45">
      <c r="A59" s="41" t="str">
        <f t="shared" si="4"/>
        <v>Watering in year 1 ($)</v>
      </c>
      <c r="B59" s="280">
        <f>IFERROR(B8/Dashboard_3!$H$6,0)</f>
        <v>192</v>
      </c>
      <c r="C59" s="280">
        <f>IFERROR(C8/Dashboard_3!$H$6,0)</f>
        <v>192</v>
      </c>
      <c r="D59" s="280">
        <f>IFERROR(D8/Dashboard_3!$H$6,0)</f>
        <v>192</v>
      </c>
      <c r="E59" s="280">
        <f>IFERROR(E8/Dashboard_3!$H$6,0)</f>
        <v>192</v>
      </c>
      <c r="F59" s="280">
        <f>IFERROR(F8/Dashboard_3!$H$6,0)</f>
        <v>192</v>
      </c>
      <c r="G59" s="280">
        <f>IFERROR(G8/Dashboard_3!$H$6,0)</f>
        <v>192</v>
      </c>
      <c r="H59" s="280">
        <f>IFERROR(H8/Dashboard_3!$H$6,0)</f>
        <v>192</v>
      </c>
      <c r="I59" s="280">
        <f>IFERROR(I8/Dashboard_3!$H$6,0)</f>
        <v>192</v>
      </c>
      <c r="J59" s="280">
        <f>IFERROR(J8/Dashboard_3!$H$6,0)</f>
        <v>192</v>
      </c>
      <c r="K59" s="280">
        <f>IFERROR(K8/Dashboard_3!$H$6,0)</f>
        <v>192</v>
      </c>
      <c r="L59" s="280">
        <f>IFERROR(L8/Dashboard_3!$H$6,0)</f>
        <v>192</v>
      </c>
      <c r="M59" s="280">
        <f>IFERROR(M8/Dashboard_3!$H$6,0)</f>
        <v>192</v>
      </c>
      <c r="N59" s="280">
        <f>IFERROR(N8/Dashboard_3!$H$6,0)</f>
        <v>192</v>
      </c>
      <c r="O59" s="280">
        <f>IFERROR(O8/Dashboard_3!$H$6,0)</f>
        <v>192</v>
      </c>
      <c r="P59" s="280">
        <f>IFERROR(P8/Dashboard_3!$H$6,0)</f>
        <v>192</v>
      </c>
      <c r="Q59" s="280">
        <f>IFERROR(Q8/Dashboard_3!$H$6,0)</f>
        <v>192</v>
      </c>
      <c r="R59" s="280">
        <f>IFERROR(R8/Dashboard_3!$H$6,0)</f>
        <v>192</v>
      </c>
      <c r="S59" s="280">
        <f>IFERROR(S8/Dashboard_3!$H$6,0)</f>
        <v>192</v>
      </c>
      <c r="T59" s="280">
        <f>IFERROR(T8/Dashboard_3!$H$6,0)</f>
        <v>192</v>
      </c>
      <c r="U59" s="280">
        <f>IFERROR(U8/Dashboard_3!$H$6,0)</f>
        <v>192</v>
      </c>
      <c r="V59" s="280">
        <f>IFERROR(V8/Dashboard_3!$H$6,0)</f>
        <v>192</v>
      </c>
      <c r="W59" s="280">
        <f>IFERROR(W8/Dashboard_3!$H$6,0)</f>
        <v>192</v>
      </c>
      <c r="X59" s="280">
        <f>IFERROR(X8/Dashboard_3!$H$6,0)</f>
        <v>192</v>
      </c>
      <c r="Y59" s="280">
        <f>IFERROR(Y8/Dashboard_3!$H$6,0)</f>
        <v>192</v>
      </c>
      <c r="Z59" s="280">
        <f>IFERROR(Z8/Dashboard_3!$H$6,0)</f>
        <v>192</v>
      </c>
      <c r="AA59" s="280">
        <f>IFERROR(AA8/Dashboard_3!$H$6,0)</f>
        <v>192</v>
      </c>
      <c r="AB59" s="280">
        <f>IFERROR(AB8/Dashboard_3!$H$6,0)</f>
        <v>192</v>
      </c>
      <c r="AC59" s="280">
        <f>IFERROR(AC8/Dashboard_3!$H$6,0)</f>
        <v>192</v>
      </c>
      <c r="AD59" s="280">
        <f>IFERROR(AD8/Dashboard_3!$H$6,0)</f>
        <v>192</v>
      </c>
      <c r="AE59" s="280">
        <f>IFERROR(AE8/Dashboard_3!$H$6,0)</f>
        <v>192</v>
      </c>
      <c r="AF59" s="280">
        <f>IFERROR(AF8/Dashboard_3!$H$6,0)</f>
        <v>192</v>
      </c>
      <c r="AG59" s="280">
        <f>IFERROR(AG8/Dashboard_3!$H$6,0)</f>
        <v>192</v>
      </c>
      <c r="AH59" s="280">
        <f>IFERROR(AH8/Dashboard_3!$H$6,0)</f>
        <v>192</v>
      </c>
      <c r="AI59" s="280">
        <f>IFERROR(AI8/Dashboard_3!$H$6,0)</f>
        <v>192</v>
      </c>
      <c r="AJ59" s="280">
        <f>IFERROR(AJ8/Dashboard_3!$H$6,0)</f>
        <v>192</v>
      </c>
      <c r="AK59" s="280">
        <f>IFERROR(AK8/Dashboard_3!$H$6,0)</f>
        <v>192</v>
      </c>
      <c r="AL59" s="280">
        <f>IFERROR(AL8/Dashboard_3!$H$6,0)</f>
        <v>192</v>
      </c>
      <c r="AM59" s="280">
        <f>IFERROR(AM8/Dashboard_3!$H$6,0)</f>
        <v>192</v>
      </c>
      <c r="AN59" s="280">
        <f>IFERROR(AN8/Dashboard_3!$H$6,0)</f>
        <v>192</v>
      </c>
      <c r="AO59" s="280">
        <f>IFERROR(AO8/Dashboard_3!$H$6,0)</f>
        <v>192</v>
      </c>
      <c r="AP59" s="280">
        <f>IFERROR(AP8/Dashboard_3!$H$6,0)</f>
        <v>192</v>
      </c>
      <c r="AQ59" s="280">
        <f>IFERROR(AQ8/Dashboard_3!$H$6,0)</f>
        <v>192</v>
      </c>
      <c r="AR59" s="280">
        <f>IFERROR(AR8/Dashboard_3!$H$6,0)</f>
        <v>192</v>
      </c>
      <c r="AS59" s="280">
        <f>IFERROR(AS8/Dashboard_3!$H$6,0)</f>
        <v>192</v>
      </c>
      <c r="AT59" s="280">
        <f>IFERROR(AT8/Dashboard_3!$H$6,0)</f>
        <v>192</v>
      </c>
      <c r="AU59" s="280">
        <f>IFERROR(AU8/Dashboard_3!$H$6,0)</f>
        <v>192</v>
      </c>
      <c r="AV59" s="280">
        <f>IFERROR(AV8/Dashboard_3!$H$6,0)</f>
        <v>192</v>
      </c>
      <c r="AW59" s="280">
        <f>IFERROR(AW8/Dashboard_3!$H$6,0)</f>
        <v>192</v>
      </c>
      <c r="AX59" s="280">
        <f>IFERROR(AX8/Dashboard_3!$H$6,0)</f>
        <v>192</v>
      </c>
      <c r="AY59" s="280">
        <f>IFERROR(AY8/Dashboard_3!$H$6,0)</f>
        <v>192</v>
      </c>
      <c r="AZ59" s="180"/>
      <c r="BA59" s="180"/>
    </row>
    <row r="60" spans="1:53" x14ac:dyDescent="0.45">
      <c r="A60" s="41" t="str">
        <f t="shared" si="4"/>
        <v>Watering from year 2 to 10 ($)</v>
      </c>
      <c r="B60" s="280">
        <f>IFERROR(B9/Dashboard_3!$H$6,0)</f>
        <v>0</v>
      </c>
      <c r="C60" s="280">
        <f>IFERROR(C9/Dashboard_3!$H$6,0)</f>
        <v>64</v>
      </c>
      <c r="D60" s="280">
        <f>IFERROR(D9/Dashboard_3!$H$6,0)</f>
        <v>128</v>
      </c>
      <c r="E60" s="280">
        <f>IFERROR(E9/Dashboard_3!$H$6,0)</f>
        <v>192</v>
      </c>
      <c r="F60" s="280">
        <f>IFERROR(F9/Dashboard_3!$H$6,0)</f>
        <v>256</v>
      </c>
      <c r="G60" s="280">
        <f>IFERROR(G9/Dashboard_3!$H$6,0)</f>
        <v>320</v>
      </c>
      <c r="H60" s="280">
        <f>IFERROR(H9/Dashboard_3!$H$6,0)</f>
        <v>384</v>
      </c>
      <c r="I60" s="280">
        <f>IFERROR(I9/Dashboard_3!$H$6,0)</f>
        <v>448</v>
      </c>
      <c r="J60" s="280">
        <f>IFERROR(J9/Dashboard_3!$H$6,0)</f>
        <v>512</v>
      </c>
      <c r="K60" s="280">
        <f>IFERROR(K9/Dashboard_3!$H$6,0)</f>
        <v>576</v>
      </c>
      <c r="L60" s="280">
        <f>IFERROR(L9/Dashboard_3!$H$6,0)</f>
        <v>576</v>
      </c>
      <c r="M60" s="280">
        <f>IFERROR(M9/Dashboard_3!$H$6,0)</f>
        <v>576</v>
      </c>
      <c r="N60" s="280">
        <f>IFERROR(N9/Dashboard_3!$H$6,0)</f>
        <v>576</v>
      </c>
      <c r="O60" s="280">
        <f>IFERROR(O9/Dashboard_3!$H$6,0)</f>
        <v>576</v>
      </c>
      <c r="P60" s="280">
        <f>IFERROR(P9/Dashboard_3!$H$6,0)</f>
        <v>576</v>
      </c>
      <c r="Q60" s="280">
        <f>IFERROR(Q9/Dashboard_3!$H$6,0)</f>
        <v>576</v>
      </c>
      <c r="R60" s="280">
        <f>IFERROR(R9/Dashboard_3!$H$6,0)</f>
        <v>576</v>
      </c>
      <c r="S60" s="280">
        <f>IFERROR(S9/Dashboard_3!$H$6,0)</f>
        <v>576</v>
      </c>
      <c r="T60" s="280">
        <f>IFERROR(T9/Dashboard_3!$H$6,0)</f>
        <v>576</v>
      </c>
      <c r="U60" s="280">
        <f>IFERROR(U9/Dashboard_3!$H$6,0)</f>
        <v>576</v>
      </c>
      <c r="V60" s="280">
        <f>IFERROR(V9/Dashboard_3!$H$6,0)</f>
        <v>576</v>
      </c>
      <c r="W60" s="280">
        <f>IFERROR(W9/Dashboard_3!$H$6,0)</f>
        <v>576</v>
      </c>
      <c r="X60" s="280">
        <f>IFERROR(X9/Dashboard_3!$H$6,0)</f>
        <v>576</v>
      </c>
      <c r="Y60" s="280">
        <f>IFERROR(Y9/Dashboard_3!$H$6,0)</f>
        <v>576</v>
      </c>
      <c r="Z60" s="280">
        <f>IFERROR(Z9/Dashboard_3!$H$6,0)</f>
        <v>576</v>
      </c>
      <c r="AA60" s="280">
        <f>IFERROR(AA9/Dashboard_3!$H$6,0)</f>
        <v>576</v>
      </c>
      <c r="AB60" s="280">
        <f>IFERROR(AB9/Dashboard_3!$H$6,0)</f>
        <v>576</v>
      </c>
      <c r="AC60" s="280">
        <f>IFERROR(AC9/Dashboard_3!$H$6,0)</f>
        <v>576</v>
      </c>
      <c r="AD60" s="280">
        <f>IFERROR(AD9/Dashboard_3!$H$6,0)</f>
        <v>576</v>
      </c>
      <c r="AE60" s="280">
        <f>IFERROR(AE9/Dashboard_3!$H$6,0)</f>
        <v>576</v>
      </c>
      <c r="AF60" s="280">
        <f>IFERROR(AF9/Dashboard_3!$H$6,0)</f>
        <v>576</v>
      </c>
      <c r="AG60" s="280">
        <f>IFERROR(AG9/Dashboard_3!$H$6,0)</f>
        <v>576</v>
      </c>
      <c r="AH60" s="280">
        <f>IFERROR(AH9/Dashboard_3!$H$6,0)</f>
        <v>576</v>
      </c>
      <c r="AI60" s="280">
        <f>IFERROR(AI9/Dashboard_3!$H$6,0)</f>
        <v>576</v>
      </c>
      <c r="AJ60" s="280">
        <f>IFERROR(AJ9/Dashboard_3!$H$6,0)</f>
        <v>576</v>
      </c>
      <c r="AK60" s="280">
        <f>IFERROR(AK9/Dashboard_3!$H$6,0)</f>
        <v>576</v>
      </c>
      <c r="AL60" s="280">
        <f>IFERROR(AL9/Dashboard_3!$H$6,0)</f>
        <v>576</v>
      </c>
      <c r="AM60" s="280">
        <f>IFERROR(AM9/Dashboard_3!$H$6,0)</f>
        <v>576</v>
      </c>
      <c r="AN60" s="280">
        <f>IFERROR(AN9/Dashboard_3!$H$6,0)</f>
        <v>576</v>
      </c>
      <c r="AO60" s="280">
        <f>IFERROR(AO9/Dashboard_3!$H$6,0)</f>
        <v>576</v>
      </c>
      <c r="AP60" s="280">
        <f>IFERROR(AP9/Dashboard_3!$H$6,0)</f>
        <v>576</v>
      </c>
      <c r="AQ60" s="280">
        <f>IFERROR(AQ9/Dashboard_3!$H$6,0)</f>
        <v>576</v>
      </c>
      <c r="AR60" s="280">
        <f>IFERROR(AR9/Dashboard_3!$H$6,0)</f>
        <v>576</v>
      </c>
      <c r="AS60" s="280">
        <f>IFERROR(AS9/Dashboard_3!$H$6,0)</f>
        <v>576</v>
      </c>
      <c r="AT60" s="280">
        <f>IFERROR(AT9/Dashboard_3!$H$6,0)</f>
        <v>576</v>
      </c>
      <c r="AU60" s="280">
        <f>IFERROR(AU9/Dashboard_3!$H$6,0)</f>
        <v>576</v>
      </c>
      <c r="AV60" s="280">
        <f>IFERROR(AV9/Dashboard_3!$H$6,0)</f>
        <v>576</v>
      </c>
      <c r="AW60" s="280">
        <f>IFERROR(AW9/Dashboard_3!$H$6,0)</f>
        <v>576</v>
      </c>
      <c r="AX60" s="280">
        <f>IFERROR(AX9/Dashboard_3!$H$6,0)</f>
        <v>576</v>
      </c>
      <c r="AY60" s="280">
        <f>IFERROR(AY9/Dashboard_3!$H$6,0)</f>
        <v>576</v>
      </c>
      <c r="AZ60" s="180"/>
      <c r="BA60" s="180"/>
    </row>
    <row r="61" spans="1:53" x14ac:dyDescent="0.45">
      <c r="A61" s="41" t="str">
        <f t="shared" si="4"/>
        <v>Watering from year 10 onwards ($)</v>
      </c>
      <c r="B61" s="280">
        <f>IFERROR(B10/Dashboard_3!$H$6,0)</f>
        <v>0</v>
      </c>
      <c r="C61" s="280">
        <f>IFERROR(C10/Dashboard_3!$H$6,0)</f>
        <v>0</v>
      </c>
      <c r="D61" s="280">
        <f>IFERROR(D10/Dashboard_3!$H$6,0)</f>
        <v>0</v>
      </c>
      <c r="E61" s="280">
        <f>IFERROR(E10/Dashboard_3!$H$6,0)</f>
        <v>0</v>
      </c>
      <c r="F61" s="280">
        <f>IFERROR(F10/Dashboard_3!$H$6,0)</f>
        <v>0</v>
      </c>
      <c r="G61" s="280">
        <f>IFERROR(G10/Dashboard_3!$H$6,0)</f>
        <v>0</v>
      </c>
      <c r="H61" s="280">
        <f>IFERROR(H10/Dashboard_3!$H$6,0)</f>
        <v>0</v>
      </c>
      <c r="I61" s="280">
        <f>IFERROR(I10/Dashboard_3!$H$6,0)</f>
        <v>0</v>
      </c>
      <c r="J61" s="280">
        <f>IFERROR(J10/Dashboard_3!$H$6,0)</f>
        <v>0</v>
      </c>
      <c r="K61" s="280">
        <f>IFERROR(K10/Dashboard_3!$H$6,0)</f>
        <v>0</v>
      </c>
      <c r="L61" s="280">
        <f>IFERROR(L10/Dashboard_3!$H$6,0)</f>
        <v>0</v>
      </c>
      <c r="M61" s="280">
        <f>IFERROR(M10/Dashboard_3!$H$6,0)</f>
        <v>0</v>
      </c>
      <c r="N61" s="280">
        <f>IFERROR(N10/Dashboard_3!$H$6,0)</f>
        <v>0</v>
      </c>
      <c r="O61" s="280">
        <f>IFERROR(O10/Dashboard_3!$H$6,0)</f>
        <v>0</v>
      </c>
      <c r="P61" s="280">
        <f>IFERROR(P10/Dashboard_3!$H$6,0)</f>
        <v>0</v>
      </c>
      <c r="Q61" s="280">
        <f>IFERROR(Q10/Dashboard_3!$H$6,0)</f>
        <v>0</v>
      </c>
      <c r="R61" s="280">
        <f>IFERROR(R10/Dashboard_3!$H$6,0)</f>
        <v>0</v>
      </c>
      <c r="S61" s="280">
        <f>IFERROR(S10/Dashboard_3!$H$6,0)</f>
        <v>0</v>
      </c>
      <c r="T61" s="280">
        <f>IFERROR(T10/Dashboard_3!$H$6,0)</f>
        <v>0</v>
      </c>
      <c r="U61" s="280">
        <f>IFERROR(U10/Dashboard_3!$H$6,0)</f>
        <v>0</v>
      </c>
      <c r="V61" s="280">
        <f>IFERROR(V10/Dashboard_3!$H$6,0)</f>
        <v>0</v>
      </c>
      <c r="W61" s="280">
        <f>IFERROR(W10/Dashboard_3!$H$6,0)</f>
        <v>0</v>
      </c>
      <c r="X61" s="280">
        <f>IFERROR(X10/Dashboard_3!$H$6,0)</f>
        <v>0</v>
      </c>
      <c r="Y61" s="280">
        <f>IFERROR(Y10/Dashboard_3!$H$6,0)</f>
        <v>0</v>
      </c>
      <c r="Z61" s="280">
        <f>IFERROR(Z10/Dashboard_3!$H$6,0)</f>
        <v>0</v>
      </c>
      <c r="AA61" s="280">
        <f>IFERROR(AA10/Dashboard_3!$H$6,0)</f>
        <v>0</v>
      </c>
      <c r="AB61" s="280">
        <f>IFERROR(AB10/Dashboard_3!$H$6,0)</f>
        <v>0</v>
      </c>
      <c r="AC61" s="280">
        <f>IFERROR(AC10/Dashboard_3!$H$6,0)</f>
        <v>0</v>
      </c>
      <c r="AD61" s="280">
        <f>IFERROR(AD10/Dashboard_3!$H$6,0)</f>
        <v>0</v>
      </c>
      <c r="AE61" s="280">
        <f>IFERROR(AE10/Dashboard_3!$H$6,0)</f>
        <v>0</v>
      </c>
      <c r="AF61" s="280">
        <f>IFERROR(AF10/Dashboard_3!$H$6,0)</f>
        <v>0</v>
      </c>
      <c r="AG61" s="280">
        <f>IFERROR(AG10/Dashboard_3!$H$6,0)</f>
        <v>0</v>
      </c>
      <c r="AH61" s="280">
        <f>IFERROR(AH10/Dashboard_3!$H$6,0)</f>
        <v>0</v>
      </c>
      <c r="AI61" s="280">
        <f>IFERROR(AI10/Dashboard_3!$H$6,0)</f>
        <v>0</v>
      </c>
      <c r="AJ61" s="280">
        <f>IFERROR(AJ10/Dashboard_3!$H$6,0)</f>
        <v>0</v>
      </c>
      <c r="AK61" s="280">
        <f>IFERROR(AK10/Dashboard_3!$H$6,0)</f>
        <v>0</v>
      </c>
      <c r="AL61" s="280">
        <f>IFERROR(AL10/Dashboard_3!$H$6,0)</f>
        <v>0</v>
      </c>
      <c r="AM61" s="280">
        <f>IFERROR(AM10/Dashboard_3!$H$6,0)</f>
        <v>0</v>
      </c>
      <c r="AN61" s="280">
        <f>IFERROR(AN10/Dashboard_3!$H$6,0)</f>
        <v>0</v>
      </c>
      <c r="AO61" s="280">
        <f>IFERROR(AO10/Dashboard_3!$H$6,0)</f>
        <v>0</v>
      </c>
      <c r="AP61" s="280">
        <f>IFERROR(AP10/Dashboard_3!$H$6,0)</f>
        <v>0</v>
      </c>
      <c r="AQ61" s="280">
        <f>IFERROR(AQ10/Dashboard_3!$H$6,0)</f>
        <v>0</v>
      </c>
      <c r="AR61" s="280">
        <f>IFERROR(AR10/Dashboard_3!$H$6,0)</f>
        <v>0</v>
      </c>
      <c r="AS61" s="280">
        <f>IFERROR(AS10/Dashboard_3!$H$6,0)</f>
        <v>0</v>
      </c>
      <c r="AT61" s="280">
        <f>IFERROR(AT10/Dashboard_3!$H$6,0)</f>
        <v>0</v>
      </c>
      <c r="AU61" s="280">
        <f>IFERROR(AU10/Dashboard_3!$H$6,0)</f>
        <v>0</v>
      </c>
      <c r="AV61" s="280">
        <f>IFERROR(AV10/Dashboard_3!$H$6,0)</f>
        <v>0</v>
      </c>
      <c r="AW61" s="280">
        <f>IFERROR(AW10/Dashboard_3!$H$6,0)</f>
        <v>0</v>
      </c>
      <c r="AX61" s="280">
        <f>IFERROR(AX10/Dashboard_3!$H$6,0)</f>
        <v>0</v>
      </c>
      <c r="AY61" s="280">
        <f>IFERROR(AY10/Dashboard_3!$H$6,0)</f>
        <v>0</v>
      </c>
      <c r="AZ61" s="180"/>
      <c r="BA61" s="180"/>
    </row>
    <row r="62" spans="1:53" x14ac:dyDescent="0.45">
      <c r="A62" s="41" t="str">
        <f t="shared" si="4"/>
        <v>Tree removal ($)</v>
      </c>
      <c r="B62" s="280">
        <f>IFERROR(B11/Dashboard_3!$H$6,0)</f>
        <v>0</v>
      </c>
      <c r="C62" s="280">
        <f>IFERROR(C11/Dashboard_3!$H$6,0)</f>
        <v>0</v>
      </c>
      <c r="D62" s="280">
        <f>IFERROR(D11/Dashboard_3!$H$6,0)</f>
        <v>0</v>
      </c>
      <c r="E62" s="280">
        <f>IFERROR(E11/Dashboard_3!$H$6,0)</f>
        <v>0</v>
      </c>
      <c r="F62" s="280">
        <f>IFERROR(F11/Dashboard_3!$H$6,0)</f>
        <v>0</v>
      </c>
      <c r="G62" s="280">
        <f>IFERROR(G11/Dashboard_3!$H$6,0)</f>
        <v>0</v>
      </c>
      <c r="H62" s="280">
        <f>IFERROR(H11/Dashboard_3!$H$6,0)</f>
        <v>0</v>
      </c>
      <c r="I62" s="280">
        <f>IFERROR(I11/Dashboard_3!$H$6,0)</f>
        <v>0</v>
      </c>
      <c r="J62" s="280">
        <f>IFERROR(J11/Dashboard_3!$H$6,0)</f>
        <v>0</v>
      </c>
      <c r="K62" s="280">
        <f>IFERROR(K11/Dashboard_3!$H$6,0)</f>
        <v>0</v>
      </c>
      <c r="L62" s="280">
        <f>IFERROR(L11/Dashboard_3!$H$6,0)</f>
        <v>0</v>
      </c>
      <c r="M62" s="280">
        <f>IFERROR(M11/Dashboard_3!$H$6,0)</f>
        <v>0</v>
      </c>
      <c r="N62" s="280">
        <f>IFERROR(N11/Dashboard_3!$H$6,0)</f>
        <v>0</v>
      </c>
      <c r="O62" s="280">
        <f>IFERROR(O11/Dashboard_3!$H$6,0)</f>
        <v>0</v>
      </c>
      <c r="P62" s="280">
        <f>IFERROR(P11/Dashboard_3!$H$6,0)</f>
        <v>0</v>
      </c>
      <c r="Q62" s="280">
        <f>IFERROR(Q11/Dashboard_3!$H$6,0)</f>
        <v>0</v>
      </c>
      <c r="R62" s="280">
        <f>IFERROR(R11/Dashboard_3!$H$6,0)</f>
        <v>0</v>
      </c>
      <c r="S62" s="280">
        <f>IFERROR(S11/Dashboard_3!$H$6,0)</f>
        <v>0</v>
      </c>
      <c r="T62" s="280">
        <f>IFERROR(T11/Dashboard_3!$H$6,0)</f>
        <v>0</v>
      </c>
      <c r="U62" s="280">
        <f>IFERROR(U11/Dashboard_3!$H$6,0)</f>
        <v>0</v>
      </c>
      <c r="V62" s="280">
        <f>IFERROR(V11/Dashboard_3!$H$6,0)</f>
        <v>0</v>
      </c>
      <c r="W62" s="280">
        <f>IFERROR(W11/Dashboard_3!$H$6,0)</f>
        <v>0</v>
      </c>
      <c r="X62" s="280">
        <f>IFERROR(X11/Dashboard_3!$H$6,0)</f>
        <v>0</v>
      </c>
      <c r="Y62" s="280">
        <f>IFERROR(Y11/Dashboard_3!$H$6,0)</f>
        <v>0</v>
      </c>
      <c r="Z62" s="280">
        <f>IFERROR(Z11/Dashboard_3!$H$6,0)</f>
        <v>0</v>
      </c>
      <c r="AA62" s="280">
        <f>IFERROR(AA11/Dashboard_3!$H$6,0)</f>
        <v>0</v>
      </c>
      <c r="AB62" s="280">
        <f>IFERROR(AB11/Dashboard_3!$H$6,0)</f>
        <v>0</v>
      </c>
      <c r="AC62" s="280">
        <f>IFERROR(AC11/Dashboard_3!$H$6,0)</f>
        <v>0</v>
      </c>
      <c r="AD62" s="280">
        <f>IFERROR(AD11/Dashboard_3!$H$6,0)</f>
        <v>0</v>
      </c>
      <c r="AE62" s="280">
        <f>IFERROR(AE11/Dashboard_3!$H$6,0)</f>
        <v>0</v>
      </c>
      <c r="AF62" s="280">
        <f>IFERROR(AF11/Dashboard_3!$H$6,0)</f>
        <v>0</v>
      </c>
      <c r="AG62" s="280">
        <f>IFERROR(AG11/Dashboard_3!$H$6,0)</f>
        <v>0</v>
      </c>
      <c r="AH62" s="280">
        <f>IFERROR(AH11/Dashboard_3!$H$6,0)</f>
        <v>0</v>
      </c>
      <c r="AI62" s="280">
        <f>IFERROR(AI11/Dashboard_3!$H$6,0)</f>
        <v>0</v>
      </c>
      <c r="AJ62" s="280">
        <f>IFERROR(AJ11/Dashboard_3!$H$6,0)</f>
        <v>0</v>
      </c>
      <c r="AK62" s="280">
        <f>IFERROR(AK11/Dashboard_3!$H$6,0)</f>
        <v>0</v>
      </c>
      <c r="AL62" s="280">
        <f>IFERROR(AL11/Dashboard_3!$H$6,0)</f>
        <v>0</v>
      </c>
      <c r="AM62" s="280">
        <f>IFERROR(AM11/Dashboard_3!$H$6,0)</f>
        <v>0</v>
      </c>
      <c r="AN62" s="280">
        <f>IFERROR(AN11/Dashboard_3!$H$6,0)</f>
        <v>0</v>
      </c>
      <c r="AO62" s="280">
        <f>IFERROR(AO11/Dashboard_3!$H$6,0)</f>
        <v>0</v>
      </c>
      <c r="AP62" s="280">
        <f>IFERROR(AP11/Dashboard_3!$H$6,0)</f>
        <v>0</v>
      </c>
      <c r="AQ62" s="280">
        <f>IFERROR(AQ11/Dashboard_3!$H$6,0)</f>
        <v>0</v>
      </c>
      <c r="AR62" s="280">
        <f>IFERROR(AR11/Dashboard_3!$H$6,0)</f>
        <v>0</v>
      </c>
      <c r="AS62" s="280">
        <f>IFERROR(AS11/Dashboard_3!$H$6,0)</f>
        <v>0</v>
      </c>
      <c r="AT62" s="280">
        <f>IFERROR(AT11/Dashboard_3!$H$6,0)</f>
        <v>0</v>
      </c>
      <c r="AU62" s="280">
        <f>IFERROR(AU11/Dashboard_3!$H$6,0)</f>
        <v>0</v>
      </c>
      <c r="AV62" s="280">
        <f>IFERROR(AV11/Dashboard_3!$H$6,0)</f>
        <v>0</v>
      </c>
      <c r="AW62" s="280">
        <f>IFERROR(AW11/Dashboard_3!$H$6,0)</f>
        <v>0</v>
      </c>
      <c r="AX62" s="280">
        <f>IFERROR(AX11/Dashboard_3!$H$6,0)</f>
        <v>0</v>
      </c>
      <c r="AY62" s="280">
        <f>IFERROR(AY11/Dashboard_3!$H$6,0)</f>
        <v>0</v>
      </c>
      <c r="AZ62" s="180"/>
      <c r="BA62" s="180"/>
    </row>
    <row r="63" spans="1:53" x14ac:dyDescent="0.45">
      <c r="A63" s="41" t="str">
        <f t="shared" si="4"/>
        <v>Tree protection fencing ($)</v>
      </c>
      <c r="B63" s="280">
        <f>IFERROR(B12/Dashboard_3!$H$6,0)</f>
        <v>0</v>
      </c>
      <c r="C63" s="280">
        <f>IFERROR(C12/Dashboard_3!$H$6,0)</f>
        <v>0</v>
      </c>
      <c r="D63" s="280">
        <f>IFERROR(D12/Dashboard_3!$H$6,0)</f>
        <v>0</v>
      </c>
      <c r="E63" s="280">
        <f>IFERROR(E12/Dashboard_3!$H$6,0)</f>
        <v>0</v>
      </c>
      <c r="F63" s="280">
        <f>IFERROR(F12/Dashboard_3!$H$6,0)</f>
        <v>0</v>
      </c>
      <c r="G63" s="280">
        <f>IFERROR(G12/Dashboard_3!$H$6,0)</f>
        <v>0</v>
      </c>
      <c r="H63" s="280">
        <f>IFERROR(H12/Dashboard_3!$H$6,0)</f>
        <v>0</v>
      </c>
      <c r="I63" s="280">
        <f>IFERROR(I12/Dashboard_3!$H$6,0)</f>
        <v>0</v>
      </c>
      <c r="J63" s="280">
        <f>IFERROR(J12/Dashboard_3!$H$6,0)</f>
        <v>0</v>
      </c>
      <c r="K63" s="280">
        <f>IFERROR(K12/Dashboard_3!$H$6,0)</f>
        <v>0</v>
      </c>
      <c r="L63" s="280">
        <f>IFERROR(L12/Dashboard_3!$H$6,0)</f>
        <v>0</v>
      </c>
      <c r="M63" s="280">
        <f>IFERROR(M12/Dashboard_3!$H$6,0)</f>
        <v>0</v>
      </c>
      <c r="N63" s="280">
        <f>IFERROR(N12/Dashboard_3!$H$6,0)</f>
        <v>0</v>
      </c>
      <c r="O63" s="280">
        <f>IFERROR(O12/Dashboard_3!$H$6,0)</f>
        <v>0</v>
      </c>
      <c r="P63" s="280">
        <f>IFERROR(P12/Dashboard_3!$H$6,0)</f>
        <v>0</v>
      </c>
      <c r="Q63" s="280">
        <f>IFERROR(Q12/Dashboard_3!$H$6,0)</f>
        <v>0</v>
      </c>
      <c r="R63" s="280">
        <f>IFERROR(R12/Dashboard_3!$H$6,0)</f>
        <v>0</v>
      </c>
      <c r="S63" s="280">
        <f>IFERROR(S12/Dashboard_3!$H$6,0)</f>
        <v>0</v>
      </c>
      <c r="T63" s="280">
        <f>IFERROR(T12/Dashboard_3!$H$6,0)</f>
        <v>0</v>
      </c>
      <c r="U63" s="280">
        <f>IFERROR(U12/Dashboard_3!$H$6,0)</f>
        <v>0</v>
      </c>
      <c r="V63" s="280">
        <f>IFERROR(V12/Dashboard_3!$H$6,0)</f>
        <v>0</v>
      </c>
      <c r="W63" s="280">
        <f>IFERROR(W12/Dashboard_3!$H$6,0)</f>
        <v>0</v>
      </c>
      <c r="X63" s="280">
        <f>IFERROR(X12/Dashboard_3!$H$6,0)</f>
        <v>0</v>
      </c>
      <c r="Y63" s="280">
        <f>IFERROR(Y12/Dashboard_3!$H$6,0)</f>
        <v>0</v>
      </c>
      <c r="Z63" s="280">
        <f>IFERROR(Z12/Dashboard_3!$H$6,0)</f>
        <v>0</v>
      </c>
      <c r="AA63" s="280">
        <f>IFERROR(AA12/Dashboard_3!$H$6,0)</f>
        <v>0</v>
      </c>
      <c r="AB63" s="280">
        <f>IFERROR(AB12/Dashboard_3!$H$6,0)</f>
        <v>0</v>
      </c>
      <c r="AC63" s="280">
        <f>IFERROR(AC12/Dashboard_3!$H$6,0)</f>
        <v>0</v>
      </c>
      <c r="AD63" s="280">
        <f>IFERROR(AD12/Dashboard_3!$H$6,0)</f>
        <v>0</v>
      </c>
      <c r="AE63" s="280">
        <f>IFERROR(AE12/Dashboard_3!$H$6,0)</f>
        <v>0</v>
      </c>
      <c r="AF63" s="280">
        <f>IFERROR(AF12/Dashboard_3!$H$6,0)</f>
        <v>0</v>
      </c>
      <c r="AG63" s="280">
        <f>IFERROR(AG12/Dashboard_3!$H$6,0)</f>
        <v>0</v>
      </c>
      <c r="AH63" s="280">
        <f>IFERROR(AH12/Dashboard_3!$H$6,0)</f>
        <v>0</v>
      </c>
      <c r="AI63" s="280">
        <f>IFERROR(AI12/Dashboard_3!$H$6,0)</f>
        <v>0</v>
      </c>
      <c r="AJ63" s="280">
        <f>IFERROR(AJ12/Dashboard_3!$H$6,0)</f>
        <v>0</v>
      </c>
      <c r="AK63" s="280">
        <f>IFERROR(AK12/Dashboard_3!$H$6,0)</f>
        <v>0</v>
      </c>
      <c r="AL63" s="280">
        <f>IFERROR(AL12/Dashboard_3!$H$6,0)</f>
        <v>0</v>
      </c>
      <c r="AM63" s="280">
        <f>IFERROR(AM12/Dashboard_3!$H$6,0)</f>
        <v>0</v>
      </c>
      <c r="AN63" s="280">
        <f>IFERROR(AN12/Dashboard_3!$H$6,0)</f>
        <v>0</v>
      </c>
      <c r="AO63" s="280">
        <f>IFERROR(AO12/Dashboard_3!$H$6,0)</f>
        <v>0</v>
      </c>
      <c r="AP63" s="280">
        <f>IFERROR(AP12/Dashboard_3!$H$6,0)</f>
        <v>0</v>
      </c>
      <c r="AQ63" s="280">
        <f>IFERROR(AQ12/Dashboard_3!$H$6,0)</f>
        <v>0</v>
      </c>
      <c r="AR63" s="280">
        <f>IFERROR(AR12/Dashboard_3!$H$6,0)</f>
        <v>0</v>
      </c>
      <c r="AS63" s="280">
        <f>IFERROR(AS12/Dashboard_3!$H$6,0)</f>
        <v>0</v>
      </c>
      <c r="AT63" s="280">
        <f>IFERROR(AT12/Dashboard_3!$H$6,0)</f>
        <v>0</v>
      </c>
      <c r="AU63" s="280">
        <f>IFERROR(AU12/Dashboard_3!$H$6,0)</f>
        <v>0</v>
      </c>
      <c r="AV63" s="280">
        <f>IFERROR(AV12/Dashboard_3!$H$6,0)</f>
        <v>0</v>
      </c>
      <c r="AW63" s="280">
        <f>IFERROR(AW12/Dashboard_3!$H$6,0)</f>
        <v>0</v>
      </c>
      <c r="AX63" s="280">
        <f>IFERROR(AX12/Dashboard_3!$H$6,0)</f>
        <v>0</v>
      </c>
      <c r="AY63" s="280">
        <f>IFERROR(AY12/Dashboard_3!$H$6,0)</f>
        <v>0</v>
      </c>
      <c r="AZ63" s="180"/>
      <c r="BA63" s="180"/>
    </row>
    <row r="64" spans="1:53" x14ac:dyDescent="0.45">
      <c r="A64" s="41" t="str">
        <f t="shared" si="4"/>
        <v>User specified cost item 1 ($/ year)</v>
      </c>
      <c r="B64" s="280">
        <f>IFERROR(B13/Dashboard_3!$H$6,0)</f>
        <v>0</v>
      </c>
      <c r="C64" s="280">
        <f>IFERROR(C13/Dashboard_3!$H$6,0)</f>
        <v>0</v>
      </c>
      <c r="D64" s="280">
        <f>IFERROR(D13/Dashboard_3!$H$6,0)</f>
        <v>0</v>
      </c>
      <c r="E64" s="280">
        <f>IFERROR(E13/Dashboard_3!$H$6,0)</f>
        <v>0</v>
      </c>
      <c r="F64" s="280">
        <f>IFERROR(F13/Dashboard_3!$H$6,0)</f>
        <v>0</v>
      </c>
      <c r="G64" s="280">
        <f>IFERROR(G13/Dashboard_3!$H$6,0)</f>
        <v>0</v>
      </c>
      <c r="H64" s="280">
        <f>IFERROR(H13/Dashboard_3!$H$6,0)</f>
        <v>0</v>
      </c>
      <c r="I64" s="280">
        <f>IFERROR(I13/Dashboard_3!$H$6,0)</f>
        <v>0</v>
      </c>
      <c r="J64" s="280">
        <f>IFERROR(J13/Dashboard_3!$H$6,0)</f>
        <v>0</v>
      </c>
      <c r="K64" s="280">
        <f>IFERROR(K13/Dashboard_3!$H$6,0)</f>
        <v>0</v>
      </c>
      <c r="L64" s="280">
        <f>IFERROR(L13/Dashboard_3!$H$6,0)</f>
        <v>0</v>
      </c>
      <c r="M64" s="280">
        <f>IFERROR(M13/Dashboard_3!$H$6,0)</f>
        <v>0</v>
      </c>
      <c r="N64" s="280">
        <f>IFERROR(N13/Dashboard_3!$H$6,0)</f>
        <v>0</v>
      </c>
      <c r="O64" s="280">
        <f>IFERROR(O13/Dashboard_3!$H$6,0)</f>
        <v>0</v>
      </c>
      <c r="P64" s="280">
        <f>IFERROR(P13/Dashboard_3!$H$6,0)</f>
        <v>0</v>
      </c>
      <c r="Q64" s="280">
        <f>IFERROR(Q13/Dashboard_3!$H$6,0)</f>
        <v>0</v>
      </c>
      <c r="R64" s="280">
        <f>IFERROR(R13/Dashboard_3!$H$6,0)</f>
        <v>0</v>
      </c>
      <c r="S64" s="280">
        <f>IFERROR(S13/Dashboard_3!$H$6,0)</f>
        <v>0</v>
      </c>
      <c r="T64" s="280">
        <f>IFERROR(T13/Dashboard_3!$H$6,0)</f>
        <v>0</v>
      </c>
      <c r="U64" s="280">
        <f>IFERROR(U13/Dashboard_3!$H$6,0)</f>
        <v>0</v>
      </c>
      <c r="V64" s="280">
        <f>IFERROR(V13/Dashboard_3!$H$6,0)</f>
        <v>0</v>
      </c>
      <c r="W64" s="280">
        <f>IFERROR(W13/Dashboard_3!$H$6,0)</f>
        <v>0</v>
      </c>
      <c r="X64" s="280">
        <f>IFERROR(X13/Dashboard_3!$H$6,0)</f>
        <v>0</v>
      </c>
      <c r="Y64" s="280">
        <f>IFERROR(Y13/Dashboard_3!$H$6,0)</f>
        <v>0</v>
      </c>
      <c r="Z64" s="280">
        <f>IFERROR(Z13/Dashboard_3!$H$6,0)</f>
        <v>0</v>
      </c>
      <c r="AA64" s="280">
        <f>IFERROR(AA13/Dashboard_3!$H$6,0)</f>
        <v>0</v>
      </c>
      <c r="AB64" s="280">
        <f>IFERROR(AB13/Dashboard_3!$H$6,0)</f>
        <v>0</v>
      </c>
      <c r="AC64" s="280">
        <f>IFERROR(AC13/Dashboard_3!$H$6,0)</f>
        <v>0</v>
      </c>
      <c r="AD64" s="280">
        <f>IFERROR(AD13/Dashboard_3!$H$6,0)</f>
        <v>0</v>
      </c>
      <c r="AE64" s="280">
        <f>IFERROR(AE13/Dashboard_3!$H$6,0)</f>
        <v>0</v>
      </c>
      <c r="AF64" s="280">
        <f>IFERROR(AF13/Dashboard_3!$H$6,0)</f>
        <v>0</v>
      </c>
      <c r="AG64" s="280">
        <f>IFERROR(AG13/Dashboard_3!$H$6,0)</f>
        <v>0</v>
      </c>
      <c r="AH64" s="280">
        <f>IFERROR(AH13/Dashboard_3!$H$6,0)</f>
        <v>0</v>
      </c>
      <c r="AI64" s="280">
        <f>IFERROR(AI13/Dashboard_3!$H$6,0)</f>
        <v>0</v>
      </c>
      <c r="AJ64" s="280">
        <f>IFERROR(AJ13/Dashboard_3!$H$6,0)</f>
        <v>0</v>
      </c>
      <c r="AK64" s="280">
        <f>IFERROR(AK13/Dashboard_3!$H$6,0)</f>
        <v>0</v>
      </c>
      <c r="AL64" s="280">
        <f>IFERROR(AL13/Dashboard_3!$H$6,0)</f>
        <v>0</v>
      </c>
      <c r="AM64" s="280">
        <f>IFERROR(AM13/Dashboard_3!$H$6,0)</f>
        <v>0</v>
      </c>
      <c r="AN64" s="280">
        <f>IFERROR(AN13/Dashboard_3!$H$6,0)</f>
        <v>0</v>
      </c>
      <c r="AO64" s="280">
        <f>IFERROR(AO13/Dashboard_3!$H$6,0)</f>
        <v>0</v>
      </c>
      <c r="AP64" s="280">
        <f>IFERROR(AP13/Dashboard_3!$H$6,0)</f>
        <v>0</v>
      </c>
      <c r="AQ64" s="280">
        <f>IFERROR(AQ13/Dashboard_3!$H$6,0)</f>
        <v>0</v>
      </c>
      <c r="AR64" s="280">
        <f>IFERROR(AR13/Dashboard_3!$H$6,0)</f>
        <v>0</v>
      </c>
      <c r="AS64" s="280">
        <f>IFERROR(AS13/Dashboard_3!$H$6,0)</f>
        <v>0</v>
      </c>
      <c r="AT64" s="280">
        <f>IFERROR(AT13/Dashboard_3!$H$6,0)</f>
        <v>0</v>
      </c>
      <c r="AU64" s="280">
        <f>IFERROR(AU13/Dashboard_3!$H$6,0)</f>
        <v>0</v>
      </c>
      <c r="AV64" s="280">
        <f>IFERROR(AV13/Dashboard_3!$H$6,0)</f>
        <v>0</v>
      </c>
      <c r="AW64" s="280">
        <f>IFERROR(AW13/Dashboard_3!$H$6,0)</f>
        <v>0</v>
      </c>
      <c r="AX64" s="280">
        <f>IFERROR(AX13/Dashboard_3!$H$6,0)</f>
        <v>0</v>
      </c>
      <c r="AY64" s="280">
        <f>IFERROR(AY13/Dashboard_3!$H$6,0)</f>
        <v>0</v>
      </c>
      <c r="AZ64" s="180"/>
      <c r="BA64" s="180"/>
    </row>
    <row r="65" spans="1:53" x14ac:dyDescent="0.45">
      <c r="A65" s="41" t="str">
        <f t="shared" si="4"/>
        <v>User specified cost item 2 ($/ year)</v>
      </c>
      <c r="B65" s="280">
        <f>IFERROR(B14/Dashboard_3!$H$6,0)</f>
        <v>0</v>
      </c>
      <c r="C65" s="280">
        <f>IFERROR(C14/Dashboard_3!$H$6,0)</f>
        <v>0</v>
      </c>
      <c r="D65" s="280">
        <f>IFERROR(D14/Dashboard_3!$H$6,0)</f>
        <v>0</v>
      </c>
      <c r="E65" s="280">
        <f>IFERROR(E14/Dashboard_3!$H$6,0)</f>
        <v>0</v>
      </c>
      <c r="F65" s="280">
        <f>IFERROR(F14/Dashboard_3!$H$6,0)</f>
        <v>0</v>
      </c>
      <c r="G65" s="280">
        <f>IFERROR(G14/Dashboard_3!$H$6,0)</f>
        <v>0</v>
      </c>
      <c r="H65" s="280">
        <f>IFERROR(H14/Dashboard_3!$H$6,0)</f>
        <v>0</v>
      </c>
      <c r="I65" s="280">
        <f>IFERROR(I14/Dashboard_3!$H$6,0)</f>
        <v>0</v>
      </c>
      <c r="J65" s="280">
        <f>IFERROR(J14/Dashboard_3!$H$6,0)</f>
        <v>0</v>
      </c>
      <c r="K65" s="280">
        <f>IFERROR(K14/Dashboard_3!$H$6,0)</f>
        <v>0</v>
      </c>
      <c r="L65" s="280">
        <f>IFERROR(L14/Dashboard_3!$H$6,0)</f>
        <v>0</v>
      </c>
      <c r="M65" s="280">
        <f>IFERROR(M14/Dashboard_3!$H$6,0)</f>
        <v>0</v>
      </c>
      <c r="N65" s="280">
        <f>IFERROR(N14/Dashboard_3!$H$6,0)</f>
        <v>0</v>
      </c>
      <c r="O65" s="280">
        <f>IFERROR(O14/Dashboard_3!$H$6,0)</f>
        <v>0</v>
      </c>
      <c r="P65" s="280">
        <f>IFERROR(P14/Dashboard_3!$H$6,0)</f>
        <v>0</v>
      </c>
      <c r="Q65" s="280">
        <f>IFERROR(Q14/Dashboard_3!$H$6,0)</f>
        <v>0</v>
      </c>
      <c r="R65" s="280">
        <f>IFERROR(R14/Dashboard_3!$H$6,0)</f>
        <v>0</v>
      </c>
      <c r="S65" s="280">
        <f>IFERROR(S14/Dashboard_3!$H$6,0)</f>
        <v>0</v>
      </c>
      <c r="T65" s="280">
        <f>IFERROR(T14/Dashboard_3!$H$6,0)</f>
        <v>0</v>
      </c>
      <c r="U65" s="280">
        <f>IFERROR(U14/Dashboard_3!$H$6,0)</f>
        <v>0</v>
      </c>
      <c r="V65" s="280">
        <f>IFERROR(V14/Dashboard_3!$H$6,0)</f>
        <v>0</v>
      </c>
      <c r="W65" s="280">
        <f>IFERROR(W14/Dashboard_3!$H$6,0)</f>
        <v>0</v>
      </c>
      <c r="X65" s="280">
        <f>IFERROR(X14/Dashboard_3!$H$6,0)</f>
        <v>0</v>
      </c>
      <c r="Y65" s="280">
        <f>IFERROR(Y14/Dashboard_3!$H$6,0)</f>
        <v>0</v>
      </c>
      <c r="Z65" s="280">
        <f>IFERROR(Z14/Dashboard_3!$H$6,0)</f>
        <v>0</v>
      </c>
      <c r="AA65" s="280">
        <f>IFERROR(AA14/Dashboard_3!$H$6,0)</f>
        <v>0</v>
      </c>
      <c r="AB65" s="280">
        <f>IFERROR(AB14/Dashboard_3!$H$6,0)</f>
        <v>0</v>
      </c>
      <c r="AC65" s="280">
        <f>IFERROR(AC14/Dashboard_3!$H$6,0)</f>
        <v>0</v>
      </c>
      <c r="AD65" s="280">
        <f>IFERROR(AD14/Dashboard_3!$H$6,0)</f>
        <v>0</v>
      </c>
      <c r="AE65" s="280">
        <f>IFERROR(AE14/Dashboard_3!$H$6,0)</f>
        <v>0</v>
      </c>
      <c r="AF65" s="280">
        <f>IFERROR(AF14/Dashboard_3!$H$6,0)</f>
        <v>0</v>
      </c>
      <c r="AG65" s="280">
        <f>IFERROR(AG14/Dashboard_3!$H$6,0)</f>
        <v>0</v>
      </c>
      <c r="AH65" s="280">
        <f>IFERROR(AH14/Dashboard_3!$H$6,0)</f>
        <v>0</v>
      </c>
      <c r="AI65" s="280">
        <f>IFERROR(AI14/Dashboard_3!$H$6,0)</f>
        <v>0</v>
      </c>
      <c r="AJ65" s="280">
        <f>IFERROR(AJ14/Dashboard_3!$H$6,0)</f>
        <v>0</v>
      </c>
      <c r="AK65" s="280">
        <f>IFERROR(AK14/Dashboard_3!$H$6,0)</f>
        <v>0</v>
      </c>
      <c r="AL65" s="280">
        <f>IFERROR(AL14/Dashboard_3!$H$6,0)</f>
        <v>0</v>
      </c>
      <c r="AM65" s="280">
        <f>IFERROR(AM14/Dashboard_3!$H$6,0)</f>
        <v>0</v>
      </c>
      <c r="AN65" s="280">
        <f>IFERROR(AN14/Dashboard_3!$H$6,0)</f>
        <v>0</v>
      </c>
      <c r="AO65" s="280">
        <f>IFERROR(AO14/Dashboard_3!$H$6,0)</f>
        <v>0</v>
      </c>
      <c r="AP65" s="280">
        <f>IFERROR(AP14/Dashboard_3!$H$6,0)</f>
        <v>0</v>
      </c>
      <c r="AQ65" s="280">
        <f>IFERROR(AQ14/Dashboard_3!$H$6,0)</f>
        <v>0</v>
      </c>
      <c r="AR65" s="280">
        <f>IFERROR(AR14/Dashboard_3!$H$6,0)</f>
        <v>0</v>
      </c>
      <c r="AS65" s="280">
        <f>IFERROR(AS14/Dashboard_3!$H$6,0)</f>
        <v>0</v>
      </c>
      <c r="AT65" s="280">
        <f>IFERROR(AT14/Dashboard_3!$H$6,0)</f>
        <v>0</v>
      </c>
      <c r="AU65" s="280">
        <f>IFERROR(AU14/Dashboard_3!$H$6,0)</f>
        <v>0</v>
      </c>
      <c r="AV65" s="280">
        <f>IFERROR(AV14/Dashboard_3!$H$6,0)</f>
        <v>0</v>
      </c>
      <c r="AW65" s="280">
        <f>IFERROR(AW14/Dashboard_3!$H$6,0)</f>
        <v>0</v>
      </c>
      <c r="AX65" s="280">
        <f>IFERROR(AX14/Dashboard_3!$H$6,0)</f>
        <v>0</v>
      </c>
      <c r="AY65" s="280">
        <f>IFERROR(AY14/Dashboard_3!$H$6,0)</f>
        <v>0</v>
      </c>
      <c r="AZ65" s="180"/>
      <c r="BA65" s="180"/>
    </row>
    <row r="66" spans="1:53" x14ac:dyDescent="0.45">
      <c r="A66" s="41" t="str">
        <f t="shared" si="4"/>
        <v>Maintenance in first 10 years ($)</v>
      </c>
      <c r="B66" s="280">
        <f>IFERROR(B15/Dashboard_3!$H$6,0)</f>
        <v>112.98058456229998</v>
      </c>
      <c r="C66" s="280">
        <f>IFERROR(C15/Dashboard_3!$H$6,0)</f>
        <v>225.96116912459996</v>
      </c>
      <c r="D66" s="280">
        <f>IFERROR(D15/Dashboard_3!$H$6,0)</f>
        <v>338.94175368689992</v>
      </c>
      <c r="E66" s="280">
        <f>IFERROR(E15/Dashboard_3!$H$6,0)</f>
        <v>451.92233824919992</v>
      </c>
      <c r="F66" s="280">
        <f>IFERROR(F15/Dashboard_3!$H$6,0)</f>
        <v>564.90292281149993</v>
      </c>
      <c r="G66" s="280">
        <f>IFERROR(G15/Dashboard_3!$H$6,0)</f>
        <v>677.88350737379994</v>
      </c>
      <c r="H66" s="280">
        <f>IFERROR(H15/Dashboard_3!$H$6,0)</f>
        <v>790.86409193609995</v>
      </c>
      <c r="I66" s="280">
        <f>IFERROR(I15/Dashboard_3!$H$6,0)</f>
        <v>903.84467649839985</v>
      </c>
      <c r="J66" s="280">
        <f>IFERROR(J15/Dashboard_3!$H$6,0)</f>
        <v>1016.8252610606999</v>
      </c>
      <c r="K66" s="280">
        <f>IFERROR(K15/Dashboard_3!$H$6,0)</f>
        <v>1016.8252610606999</v>
      </c>
      <c r="L66" s="280">
        <f>IFERROR(L15/Dashboard_3!$H$6,0)</f>
        <v>1016.8252610606999</v>
      </c>
      <c r="M66" s="280">
        <f>IFERROR(M15/Dashboard_3!$H$6,0)</f>
        <v>1016.8252610606999</v>
      </c>
      <c r="N66" s="280">
        <f>IFERROR(N15/Dashboard_3!$H$6,0)</f>
        <v>1016.8252610606999</v>
      </c>
      <c r="O66" s="280">
        <f>IFERROR(O15/Dashboard_3!$H$6,0)</f>
        <v>1016.8252610606999</v>
      </c>
      <c r="P66" s="280">
        <f>IFERROR(P15/Dashboard_3!$H$6,0)</f>
        <v>1016.8252610606999</v>
      </c>
      <c r="Q66" s="280">
        <f>IFERROR(Q15/Dashboard_3!$H$6,0)</f>
        <v>1016.8252610606999</v>
      </c>
      <c r="R66" s="280">
        <f>IFERROR(R15/Dashboard_3!$H$6,0)</f>
        <v>1016.8252610606999</v>
      </c>
      <c r="S66" s="280">
        <f>IFERROR(S15/Dashboard_3!$H$6,0)</f>
        <v>1016.8252610606999</v>
      </c>
      <c r="T66" s="280">
        <f>IFERROR(T15/Dashboard_3!$H$6,0)</f>
        <v>1016.8252610606999</v>
      </c>
      <c r="U66" s="280">
        <f>IFERROR(U15/Dashboard_3!$H$6,0)</f>
        <v>1016.8252610606999</v>
      </c>
      <c r="V66" s="280">
        <f>IFERROR(V15/Dashboard_3!$H$6,0)</f>
        <v>1016.8252610606999</v>
      </c>
      <c r="W66" s="280">
        <f>IFERROR(W15/Dashboard_3!$H$6,0)</f>
        <v>1016.8252610606999</v>
      </c>
      <c r="X66" s="280">
        <f>IFERROR(X15/Dashboard_3!$H$6,0)</f>
        <v>1016.8252610606999</v>
      </c>
      <c r="Y66" s="280">
        <f>IFERROR(Y15/Dashboard_3!$H$6,0)</f>
        <v>1016.8252610606999</v>
      </c>
      <c r="Z66" s="280">
        <f>IFERROR(Z15/Dashboard_3!$H$6,0)</f>
        <v>1016.8252610606999</v>
      </c>
      <c r="AA66" s="280">
        <f>IFERROR(AA15/Dashboard_3!$H$6,0)</f>
        <v>1016.8252610606999</v>
      </c>
      <c r="AB66" s="280">
        <f>IFERROR(AB15/Dashboard_3!$H$6,0)</f>
        <v>1016.8252610606999</v>
      </c>
      <c r="AC66" s="280">
        <f>IFERROR(AC15/Dashboard_3!$H$6,0)</f>
        <v>1016.8252610606999</v>
      </c>
      <c r="AD66" s="280">
        <f>IFERROR(AD15/Dashboard_3!$H$6,0)</f>
        <v>1016.8252610606999</v>
      </c>
      <c r="AE66" s="280">
        <f>IFERROR(AE15/Dashboard_3!$H$6,0)</f>
        <v>1016.8252610606999</v>
      </c>
      <c r="AF66" s="280">
        <f>IFERROR(AF15/Dashboard_3!$H$6,0)</f>
        <v>1016.8252610606999</v>
      </c>
      <c r="AG66" s="280">
        <f>IFERROR(AG15/Dashboard_3!$H$6,0)</f>
        <v>1016.8252610606999</v>
      </c>
      <c r="AH66" s="280">
        <f>IFERROR(AH15/Dashboard_3!$H$6,0)</f>
        <v>1016.8252610606999</v>
      </c>
      <c r="AI66" s="280">
        <f>IFERROR(AI15/Dashboard_3!$H$6,0)</f>
        <v>1016.8252610606999</v>
      </c>
      <c r="AJ66" s="280">
        <f>IFERROR(AJ15/Dashboard_3!$H$6,0)</f>
        <v>1016.8252610606999</v>
      </c>
      <c r="AK66" s="280">
        <f>IFERROR(AK15/Dashboard_3!$H$6,0)</f>
        <v>1016.8252610606999</v>
      </c>
      <c r="AL66" s="280">
        <f>IFERROR(AL15/Dashboard_3!$H$6,0)</f>
        <v>1016.8252610606999</v>
      </c>
      <c r="AM66" s="280">
        <f>IFERROR(AM15/Dashboard_3!$H$6,0)</f>
        <v>1016.8252610606999</v>
      </c>
      <c r="AN66" s="280">
        <f>IFERROR(AN15/Dashboard_3!$H$6,0)</f>
        <v>1016.8252610606999</v>
      </c>
      <c r="AO66" s="280">
        <f>IFERROR(AO15/Dashboard_3!$H$6,0)</f>
        <v>1016.8252610606999</v>
      </c>
      <c r="AP66" s="280">
        <f>IFERROR(AP15/Dashboard_3!$H$6,0)</f>
        <v>1016.8252610606999</v>
      </c>
      <c r="AQ66" s="280">
        <f>IFERROR(AQ15/Dashboard_3!$H$6,0)</f>
        <v>1016.8252610606999</v>
      </c>
      <c r="AR66" s="280">
        <f>IFERROR(AR15/Dashboard_3!$H$6,0)</f>
        <v>1016.8252610606999</v>
      </c>
      <c r="AS66" s="280">
        <f>IFERROR(AS15/Dashboard_3!$H$6,0)</f>
        <v>1016.8252610606999</v>
      </c>
      <c r="AT66" s="280">
        <f>IFERROR(AT15/Dashboard_3!$H$6,0)</f>
        <v>1016.8252610606999</v>
      </c>
      <c r="AU66" s="280">
        <f>IFERROR(AU15/Dashboard_3!$H$6,0)</f>
        <v>1016.8252610606999</v>
      </c>
      <c r="AV66" s="280">
        <f>IFERROR(AV15/Dashboard_3!$H$6,0)</f>
        <v>1016.8252610606999</v>
      </c>
      <c r="AW66" s="280">
        <f>IFERROR(AW15/Dashboard_3!$H$6,0)</f>
        <v>1016.8252610606999</v>
      </c>
      <c r="AX66" s="280">
        <f>IFERROR(AX15/Dashboard_3!$H$6,0)</f>
        <v>1016.8252610606999</v>
      </c>
      <c r="AY66" s="280">
        <f>IFERROR(AY15/Dashboard_3!$H$6,0)</f>
        <v>1016.8252610606999</v>
      </c>
      <c r="AZ66" s="180"/>
      <c r="BA66" s="180"/>
    </row>
    <row r="67" spans="1:53" x14ac:dyDescent="0.45">
      <c r="A67" s="41" t="str">
        <f t="shared" si="4"/>
        <v>Maintenance after year 10 ($)</v>
      </c>
      <c r="B67" s="280">
        <f>IFERROR(B16/Dashboard_3!$H$6,0)</f>
        <v>0</v>
      </c>
      <c r="C67" s="280">
        <f>IFERROR(C16/Dashboard_3!$H$6,0)</f>
        <v>0</v>
      </c>
      <c r="D67" s="280">
        <f>IFERROR(D16/Dashboard_3!$H$6,0)</f>
        <v>0</v>
      </c>
      <c r="E67" s="280">
        <f>IFERROR(E16/Dashboard_3!$H$6,0)</f>
        <v>0</v>
      </c>
      <c r="F67" s="280">
        <f>IFERROR(F16/Dashboard_3!$H$6,0)</f>
        <v>0</v>
      </c>
      <c r="G67" s="280">
        <f>IFERROR(G16/Dashboard_3!$H$6,0)</f>
        <v>0</v>
      </c>
      <c r="H67" s="280">
        <f>IFERROR(H16/Dashboard_3!$H$6,0)</f>
        <v>0</v>
      </c>
      <c r="I67" s="280">
        <f>IFERROR(I16/Dashboard_3!$H$6,0)</f>
        <v>0</v>
      </c>
      <c r="J67" s="280">
        <f>IFERROR(J16/Dashboard_3!$H$6,0)</f>
        <v>0</v>
      </c>
      <c r="K67" s="280">
        <f>IFERROR(K16/Dashboard_3!$H$6,0)</f>
        <v>27.457285728599992</v>
      </c>
      <c r="L67" s="280">
        <f>IFERROR(L16/Dashboard_3!$H$6,0)</f>
        <v>54.914571457199983</v>
      </c>
      <c r="M67" s="280">
        <f>IFERROR(M16/Dashboard_3!$H$6,0)</f>
        <v>82.371857185799982</v>
      </c>
      <c r="N67" s="280">
        <f>IFERROR(N16/Dashboard_3!$H$6,0)</f>
        <v>109.82914291439997</v>
      </c>
      <c r="O67" s="280">
        <f>IFERROR(O16/Dashboard_3!$H$6,0)</f>
        <v>137.28642864299997</v>
      </c>
      <c r="P67" s="280">
        <f>IFERROR(P16/Dashboard_3!$H$6,0)</f>
        <v>164.74371437159994</v>
      </c>
      <c r="Q67" s="280">
        <f>IFERROR(Q16/Dashboard_3!$H$6,0)</f>
        <v>192.20100010019991</v>
      </c>
      <c r="R67" s="280">
        <f>IFERROR(R16/Dashboard_3!$H$6,0)</f>
        <v>219.6582858287999</v>
      </c>
      <c r="S67" s="280">
        <f>IFERROR(S16/Dashboard_3!$H$6,0)</f>
        <v>247.11557155739987</v>
      </c>
      <c r="T67" s="280">
        <f>IFERROR(T16/Dashboard_3!$H$6,0)</f>
        <v>274.57285728599987</v>
      </c>
      <c r="U67" s="280">
        <f>IFERROR(U16/Dashboard_3!$H$6,0)</f>
        <v>302.03014301459984</v>
      </c>
      <c r="V67" s="280">
        <f>IFERROR(V16/Dashboard_3!$H$6,0)</f>
        <v>329.48742874319981</v>
      </c>
      <c r="W67" s="280">
        <f>IFERROR(W16/Dashboard_3!$H$6,0)</f>
        <v>356.94471447179978</v>
      </c>
      <c r="X67" s="280">
        <f>IFERROR(X16/Dashboard_3!$H$6,0)</f>
        <v>384.40200020039981</v>
      </c>
      <c r="Y67" s="280">
        <f>IFERROR(Y16/Dashboard_3!$H$6,0)</f>
        <v>411.85928592899984</v>
      </c>
      <c r="Z67" s="280">
        <f>IFERROR(Z16/Dashboard_3!$H$6,0)</f>
        <v>439.31657165759981</v>
      </c>
      <c r="AA67" s="280">
        <f>IFERROR(AA16/Dashboard_3!$H$6,0)</f>
        <v>466.77385738619978</v>
      </c>
      <c r="AB67" s="280">
        <f>IFERROR(AB16/Dashboard_3!$H$6,0)</f>
        <v>494.23114311479975</v>
      </c>
      <c r="AC67" s="280">
        <f>IFERROR(AC16/Dashboard_3!$H$6,0)</f>
        <v>521.68842884339972</v>
      </c>
      <c r="AD67" s="280">
        <f>IFERROR(AD16/Dashboard_3!$H$6,0)</f>
        <v>549.14571457199975</v>
      </c>
      <c r="AE67" s="280">
        <f>IFERROR(AE16/Dashboard_3!$H$6,0)</f>
        <v>576.60300030059966</v>
      </c>
      <c r="AF67" s="280">
        <f>IFERROR(AF16/Dashboard_3!$H$6,0)</f>
        <v>604.06028602919969</v>
      </c>
      <c r="AG67" s="280">
        <f>IFERROR(AG16/Dashboard_3!$H$6,0)</f>
        <v>631.51757175779971</v>
      </c>
      <c r="AH67" s="280">
        <f>IFERROR(AH16/Dashboard_3!$H$6,0)</f>
        <v>658.97485748639963</v>
      </c>
      <c r="AI67" s="280">
        <f>IFERROR(AI16/Dashboard_3!$H$6,0)</f>
        <v>686.43214321499966</v>
      </c>
      <c r="AJ67" s="280">
        <f>IFERROR(AJ16/Dashboard_3!$H$6,0)</f>
        <v>713.88942894359957</v>
      </c>
      <c r="AK67" s="280">
        <f>IFERROR(AK16/Dashboard_3!$H$6,0)</f>
        <v>741.3467146721996</v>
      </c>
      <c r="AL67" s="280">
        <f>IFERROR(AL16/Dashboard_3!$H$6,0)</f>
        <v>768.80400040079962</v>
      </c>
      <c r="AM67" s="280">
        <f>IFERROR(AM16/Dashboard_3!$H$6,0)</f>
        <v>796.26128612939954</v>
      </c>
      <c r="AN67" s="280">
        <f>IFERROR(AN16/Dashboard_3!$H$6,0)</f>
        <v>823.71857185799968</v>
      </c>
      <c r="AO67" s="280">
        <f>IFERROR(AO16/Dashboard_3!$H$6,0)</f>
        <v>851.1758575865997</v>
      </c>
      <c r="AP67" s="280">
        <f>IFERROR(AP16/Dashboard_3!$H$6,0)</f>
        <v>878.63314331519973</v>
      </c>
      <c r="AQ67" s="280">
        <f>IFERROR(AQ16/Dashboard_3!$H$6,0)</f>
        <v>906.09042904379987</v>
      </c>
      <c r="AR67" s="280">
        <f>IFERROR(AR16/Dashboard_3!$H$6,0)</f>
        <v>933.5477147723999</v>
      </c>
      <c r="AS67" s="280">
        <f>IFERROR(AS16/Dashboard_3!$H$6,0)</f>
        <v>961.00500050100004</v>
      </c>
      <c r="AT67" s="280">
        <f>IFERROR(AT16/Dashboard_3!$H$6,0)</f>
        <v>988.46228622960007</v>
      </c>
      <c r="AU67" s="280">
        <f>IFERROR(AU16/Dashboard_3!$H$6,0)</f>
        <v>1015.9195719582001</v>
      </c>
      <c r="AV67" s="280">
        <f>IFERROR(AV16/Dashboard_3!$H$6,0)</f>
        <v>1043.3768576868001</v>
      </c>
      <c r="AW67" s="280">
        <f>IFERROR(AW16/Dashboard_3!$H$6,0)</f>
        <v>1070.8341434154004</v>
      </c>
      <c r="AX67" s="280">
        <f>IFERROR(AX16/Dashboard_3!$H$6,0)</f>
        <v>1098.2914291440004</v>
      </c>
      <c r="AY67" s="280">
        <f>IFERROR(AY16/Dashboard_3!$H$6,0)</f>
        <v>1125.7487148726004</v>
      </c>
      <c r="AZ67" s="180"/>
      <c r="BA67" s="180"/>
    </row>
    <row r="68" spans="1:53" x14ac:dyDescent="0.45">
      <c r="A68" s="41" t="str">
        <f t="shared" si="4"/>
        <v>GIS mapping and inventory assessment ($)</v>
      </c>
      <c r="B68" s="280">
        <f>IFERROR(B17/Dashboard_3!$H$6,0)</f>
        <v>1500</v>
      </c>
      <c r="C68" s="280">
        <f>IFERROR(C17/Dashboard_3!$H$6,0)</f>
        <v>1500</v>
      </c>
      <c r="D68" s="280">
        <f>IFERROR(D17/Dashboard_3!$H$6,0)</f>
        <v>1500</v>
      </c>
      <c r="E68" s="280">
        <f>IFERROR(E17/Dashboard_3!$H$6,0)</f>
        <v>1500</v>
      </c>
      <c r="F68" s="280">
        <f>IFERROR(F17/Dashboard_3!$H$6,0)</f>
        <v>1500</v>
      </c>
      <c r="G68" s="280">
        <f>IFERROR(G17/Dashboard_3!$H$6,0)</f>
        <v>1500</v>
      </c>
      <c r="H68" s="280">
        <f>IFERROR(H17/Dashboard_3!$H$6,0)</f>
        <v>1500</v>
      </c>
      <c r="I68" s="280">
        <f>IFERROR(I17/Dashboard_3!$H$6,0)</f>
        <v>1500</v>
      </c>
      <c r="J68" s="280">
        <f>IFERROR(J17/Dashboard_3!$H$6,0)</f>
        <v>1500</v>
      </c>
      <c r="K68" s="280">
        <f>IFERROR(K17/Dashboard_3!$H$6,0)</f>
        <v>1500</v>
      </c>
      <c r="L68" s="280">
        <f>IFERROR(L17/Dashboard_3!$H$6,0)</f>
        <v>1500</v>
      </c>
      <c r="M68" s="280">
        <f>IFERROR(M17/Dashboard_3!$H$6,0)</f>
        <v>1500</v>
      </c>
      <c r="N68" s="280">
        <f>IFERROR(N17/Dashboard_3!$H$6,0)</f>
        <v>1500</v>
      </c>
      <c r="O68" s="280">
        <f>IFERROR(O17/Dashboard_3!$H$6,0)</f>
        <v>1500</v>
      </c>
      <c r="P68" s="280">
        <f>IFERROR(P17/Dashboard_3!$H$6,0)</f>
        <v>1500</v>
      </c>
      <c r="Q68" s="280">
        <f>IFERROR(Q17/Dashboard_3!$H$6,0)</f>
        <v>1500</v>
      </c>
      <c r="R68" s="280">
        <f>IFERROR(R17/Dashboard_3!$H$6,0)</f>
        <v>1500</v>
      </c>
      <c r="S68" s="280">
        <f>IFERROR(S17/Dashboard_3!$H$6,0)</f>
        <v>1500</v>
      </c>
      <c r="T68" s="280">
        <f>IFERROR(T17/Dashboard_3!$H$6,0)</f>
        <v>1500</v>
      </c>
      <c r="U68" s="280">
        <f>IFERROR(U17/Dashboard_3!$H$6,0)</f>
        <v>1500</v>
      </c>
      <c r="V68" s="280">
        <f>IFERROR(V17/Dashboard_3!$H$6,0)</f>
        <v>1500</v>
      </c>
      <c r="W68" s="280">
        <f>IFERROR(W17/Dashboard_3!$H$6,0)</f>
        <v>1500</v>
      </c>
      <c r="X68" s="280">
        <f>IFERROR(X17/Dashboard_3!$H$6,0)</f>
        <v>1500</v>
      </c>
      <c r="Y68" s="280">
        <f>IFERROR(Y17/Dashboard_3!$H$6,0)</f>
        <v>1500</v>
      </c>
      <c r="Z68" s="280">
        <f>IFERROR(Z17/Dashboard_3!$H$6,0)</f>
        <v>1500</v>
      </c>
      <c r="AA68" s="280">
        <f>IFERROR(AA17/Dashboard_3!$H$6,0)</f>
        <v>1500</v>
      </c>
      <c r="AB68" s="280">
        <f>IFERROR(AB17/Dashboard_3!$H$6,0)</f>
        <v>1500</v>
      </c>
      <c r="AC68" s="280">
        <f>IFERROR(AC17/Dashboard_3!$H$6,0)</f>
        <v>1500</v>
      </c>
      <c r="AD68" s="280">
        <f>IFERROR(AD17/Dashboard_3!$H$6,0)</f>
        <v>1500</v>
      </c>
      <c r="AE68" s="280">
        <f>IFERROR(AE17/Dashboard_3!$H$6,0)</f>
        <v>1500</v>
      </c>
      <c r="AF68" s="280">
        <f>IFERROR(AF17/Dashboard_3!$H$6,0)</f>
        <v>1500</v>
      </c>
      <c r="AG68" s="280">
        <f>IFERROR(AG17/Dashboard_3!$H$6,0)</f>
        <v>1500</v>
      </c>
      <c r="AH68" s="280">
        <f>IFERROR(AH17/Dashboard_3!$H$6,0)</f>
        <v>1500</v>
      </c>
      <c r="AI68" s="280">
        <f>IFERROR(AI17/Dashboard_3!$H$6,0)</f>
        <v>1500</v>
      </c>
      <c r="AJ68" s="280">
        <f>IFERROR(AJ17/Dashboard_3!$H$6,0)</f>
        <v>1500</v>
      </c>
      <c r="AK68" s="280">
        <f>IFERROR(AK17/Dashboard_3!$H$6,0)</f>
        <v>1500</v>
      </c>
      <c r="AL68" s="280">
        <f>IFERROR(AL17/Dashboard_3!$H$6,0)</f>
        <v>1500</v>
      </c>
      <c r="AM68" s="280">
        <f>IFERROR(AM17/Dashboard_3!$H$6,0)</f>
        <v>1500</v>
      </c>
      <c r="AN68" s="280">
        <f>IFERROR(AN17/Dashboard_3!$H$6,0)</f>
        <v>1500</v>
      </c>
      <c r="AO68" s="280">
        <f>IFERROR(AO17/Dashboard_3!$H$6,0)</f>
        <v>1500</v>
      </c>
      <c r="AP68" s="280">
        <f>IFERROR(AP17/Dashboard_3!$H$6,0)</f>
        <v>1500</v>
      </c>
      <c r="AQ68" s="280">
        <f>IFERROR(AQ17/Dashboard_3!$H$6,0)</f>
        <v>1500</v>
      </c>
      <c r="AR68" s="280">
        <f>IFERROR(AR17/Dashboard_3!$H$6,0)</f>
        <v>1500</v>
      </c>
      <c r="AS68" s="280">
        <f>IFERROR(AS17/Dashboard_3!$H$6,0)</f>
        <v>1500</v>
      </c>
      <c r="AT68" s="280">
        <f>IFERROR(AT17/Dashboard_3!$H$6,0)</f>
        <v>1500</v>
      </c>
      <c r="AU68" s="280">
        <f>IFERROR(AU17/Dashboard_3!$H$6,0)</f>
        <v>1500</v>
      </c>
      <c r="AV68" s="280">
        <f>IFERROR(AV17/Dashboard_3!$H$6,0)</f>
        <v>1500</v>
      </c>
      <c r="AW68" s="280">
        <f>IFERROR(AW17/Dashboard_3!$H$6,0)</f>
        <v>1500</v>
      </c>
      <c r="AX68" s="280">
        <f>IFERROR(AX17/Dashboard_3!$H$6,0)</f>
        <v>1500</v>
      </c>
      <c r="AY68" s="280">
        <f>IFERROR(AY17/Dashboard_3!$H$6,0)</f>
        <v>1500</v>
      </c>
      <c r="AZ68" s="180"/>
      <c r="BA68" s="180"/>
    </row>
    <row r="69" spans="1:53" x14ac:dyDescent="0.45">
      <c r="A69" s="41" t="str">
        <f t="shared" si="4"/>
        <v>Visual tree inspection ($)</v>
      </c>
      <c r="B69" s="280">
        <f>IFERROR(B18/Dashboard_3!$H$6,0)</f>
        <v>18</v>
      </c>
      <c r="C69" s="280">
        <f>IFERROR(C18/Dashboard_3!$H$6,0)</f>
        <v>36</v>
      </c>
      <c r="D69" s="280">
        <f>IFERROR(D18/Dashboard_3!$H$6,0)</f>
        <v>54</v>
      </c>
      <c r="E69" s="280">
        <f>IFERROR(E18/Dashboard_3!$H$6,0)</f>
        <v>72</v>
      </c>
      <c r="F69" s="280">
        <f>IFERROR(F18/Dashboard_3!$H$6,0)</f>
        <v>90</v>
      </c>
      <c r="G69" s="280">
        <f>IFERROR(G18/Dashboard_3!$H$6,0)</f>
        <v>108</v>
      </c>
      <c r="H69" s="280">
        <f>IFERROR(H18/Dashboard_3!$H$6,0)</f>
        <v>126</v>
      </c>
      <c r="I69" s="280">
        <f>IFERROR(I18/Dashboard_3!$H$6,0)</f>
        <v>144</v>
      </c>
      <c r="J69" s="280">
        <f>IFERROR(J18/Dashboard_3!$H$6,0)</f>
        <v>162</v>
      </c>
      <c r="K69" s="280">
        <f>IFERROR(K18/Dashboard_3!$H$6,0)</f>
        <v>162</v>
      </c>
      <c r="L69" s="280">
        <f>IFERROR(L18/Dashboard_3!$H$6,0)</f>
        <v>162</v>
      </c>
      <c r="M69" s="280">
        <f>IFERROR(M18/Dashboard_3!$H$6,0)</f>
        <v>162</v>
      </c>
      <c r="N69" s="280">
        <f>IFERROR(N18/Dashboard_3!$H$6,0)</f>
        <v>162</v>
      </c>
      <c r="O69" s="280">
        <f>IFERROR(O18/Dashboard_3!$H$6,0)</f>
        <v>162</v>
      </c>
      <c r="P69" s="280">
        <f>IFERROR(P18/Dashboard_3!$H$6,0)</f>
        <v>162</v>
      </c>
      <c r="Q69" s="280">
        <f>IFERROR(Q18/Dashboard_3!$H$6,0)</f>
        <v>162</v>
      </c>
      <c r="R69" s="280">
        <f>IFERROR(R18/Dashboard_3!$H$6,0)</f>
        <v>162</v>
      </c>
      <c r="S69" s="280">
        <f>IFERROR(S18/Dashboard_3!$H$6,0)</f>
        <v>162</v>
      </c>
      <c r="T69" s="280">
        <f>IFERROR(T18/Dashboard_3!$H$6,0)</f>
        <v>162</v>
      </c>
      <c r="U69" s="280">
        <f>IFERROR(U18/Dashboard_3!$H$6,0)</f>
        <v>162</v>
      </c>
      <c r="V69" s="280">
        <f>IFERROR(V18/Dashboard_3!$H$6,0)</f>
        <v>162</v>
      </c>
      <c r="W69" s="280">
        <f>IFERROR(W18/Dashboard_3!$H$6,0)</f>
        <v>162</v>
      </c>
      <c r="X69" s="280">
        <f>IFERROR(X18/Dashboard_3!$H$6,0)</f>
        <v>162</v>
      </c>
      <c r="Y69" s="280">
        <f>IFERROR(Y18/Dashboard_3!$H$6,0)</f>
        <v>162</v>
      </c>
      <c r="Z69" s="280">
        <f>IFERROR(Z18/Dashboard_3!$H$6,0)</f>
        <v>162</v>
      </c>
      <c r="AA69" s="280">
        <f>IFERROR(AA18/Dashboard_3!$H$6,0)</f>
        <v>162</v>
      </c>
      <c r="AB69" s="280">
        <f>IFERROR(AB18/Dashboard_3!$H$6,0)</f>
        <v>162</v>
      </c>
      <c r="AC69" s="280">
        <f>IFERROR(AC18/Dashboard_3!$H$6,0)</f>
        <v>162</v>
      </c>
      <c r="AD69" s="280">
        <f>IFERROR(AD18/Dashboard_3!$H$6,0)</f>
        <v>162</v>
      </c>
      <c r="AE69" s="280">
        <f>IFERROR(AE18/Dashboard_3!$H$6,0)</f>
        <v>162</v>
      </c>
      <c r="AF69" s="280">
        <f>IFERROR(AF18/Dashboard_3!$H$6,0)</f>
        <v>162</v>
      </c>
      <c r="AG69" s="280">
        <f>IFERROR(AG18/Dashboard_3!$H$6,0)</f>
        <v>162</v>
      </c>
      <c r="AH69" s="280">
        <f>IFERROR(AH18/Dashboard_3!$H$6,0)</f>
        <v>162</v>
      </c>
      <c r="AI69" s="280">
        <f>IFERROR(AI18/Dashboard_3!$H$6,0)</f>
        <v>162</v>
      </c>
      <c r="AJ69" s="280">
        <f>IFERROR(AJ18/Dashboard_3!$H$6,0)</f>
        <v>162</v>
      </c>
      <c r="AK69" s="280">
        <f>IFERROR(AK18/Dashboard_3!$H$6,0)</f>
        <v>162</v>
      </c>
      <c r="AL69" s="280">
        <f>IFERROR(AL18/Dashboard_3!$H$6,0)</f>
        <v>162</v>
      </c>
      <c r="AM69" s="280">
        <f>IFERROR(AM18/Dashboard_3!$H$6,0)</f>
        <v>162</v>
      </c>
      <c r="AN69" s="280">
        <f>IFERROR(AN18/Dashboard_3!$H$6,0)</f>
        <v>162</v>
      </c>
      <c r="AO69" s="280">
        <f>IFERROR(AO18/Dashboard_3!$H$6,0)</f>
        <v>162</v>
      </c>
      <c r="AP69" s="280">
        <f>IFERROR(AP18/Dashboard_3!$H$6,0)</f>
        <v>162</v>
      </c>
      <c r="AQ69" s="280">
        <f>IFERROR(AQ18/Dashboard_3!$H$6,0)</f>
        <v>162</v>
      </c>
      <c r="AR69" s="280">
        <f>IFERROR(AR18/Dashboard_3!$H$6,0)</f>
        <v>162</v>
      </c>
      <c r="AS69" s="280">
        <f>IFERROR(AS18/Dashboard_3!$H$6,0)</f>
        <v>162</v>
      </c>
      <c r="AT69" s="280">
        <f>IFERROR(AT18/Dashboard_3!$H$6,0)</f>
        <v>162</v>
      </c>
      <c r="AU69" s="280">
        <f>IFERROR(AU18/Dashboard_3!$H$6,0)</f>
        <v>162</v>
      </c>
      <c r="AV69" s="280">
        <f>IFERROR(AV18/Dashboard_3!$H$6,0)</f>
        <v>162</v>
      </c>
      <c r="AW69" s="280">
        <f>IFERROR(AW18/Dashboard_3!$H$6,0)</f>
        <v>162</v>
      </c>
      <c r="AX69" s="280">
        <f>IFERROR(AX18/Dashboard_3!$H$6,0)</f>
        <v>162</v>
      </c>
      <c r="AY69" s="280">
        <f>IFERROR(AY18/Dashboard_3!$H$6,0)</f>
        <v>162</v>
      </c>
      <c r="AZ69" s="180"/>
      <c r="BA69" s="180"/>
    </row>
    <row r="70" spans="1:53" x14ac:dyDescent="0.45">
      <c r="A70" s="41" t="str">
        <f t="shared" si="4"/>
        <v>User specified cost item 3 ($/ year)</v>
      </c>
      <c r="B70" s="280">
        <f>IFERROR(B19/Dashboard_3!$H$6,0)</f>
        <v>0</v>
      </c>
      <c r="C70" s="280">
        <f>IFERROR(C19/Dashboard_3!$H$6,0)</f>
        <v>0</v>
      </c>
      <c r="D70" s="280">
        <f>IFERROR(D19/Dashboard_3!$H$6,0)</f>
        <v>0</v>
      </c>
      <c r="E70" s="280">
        <f>IFERROR(E19/Dashboard_3!$H$6,0)</f>
        <v>0</v>
      </c>
      <c r="F70" s="280">
        <f>IFERROR(F19/Dashboard_3!$H$6,0)</f>
        <v>0</v>
      </c>
      <c r="G70" s="280">
        <f>IFERROR(G19/Dashboard_3!$H$6,0)</f>
        <v>0</v>
      </c>
      <c r="H70" s="280">
        <f>IFERROR(H19/Dashboard_3!$H$6,0)</f>
        <v>0</v>
      </c>
      <c r="I70" s="280">
        <f>IFERROR(I19/Dashboard_3!$H$6,0)</f>
        <v>0</v>
      </c>
      <c r="J70" s="280">
        <f>IFERROR(J19/Dashboard_3!$H$6,0)</f>
        <v>0</v>
      </c>
      <c r="K70" s="280">
        <f>IFERROR(K19/Dashboard_3!$H$6,0)</f>
        <v>0</v>
      </c>
      <c r="L70" s="280">
        <f>IFERROR(L19/Dashboard_3!$H$6,0)</f>
        <v>0</v>
      </c>
      <c r="M70" s="280">
        <f>IFERROR(M19/Dashboard_3!$H$6,0)</f>
        <v>0</v>
      </c>
      <c r="N70" s="280">
        <f>IFERROR(N19/Dashboard_3!$H$6,0)</f>
        <v>0</v>
      </c>
      <c r="O70" s="280">
        <f>IFERROR(O19/Dashboard_3!$H$6,0)</f>
        <v>0</v>
      </c>
      <c r="P70" s="280">
        <f>IFERROR(P19/Dashboard_3!$H$6,0)</f>
        <v>0</v>
      </c>
      <c r="Q70" s="280">
        <f>IFERROR(Q19/Dashboard_3!$H$6,0)</f>
        <v>0</v>
      </c>
      <c r="R70" s="280">
        <f>IFERROR(R19/Dashboard_3!$H$6,0)</f>
        <v>0</v>
      </c>
      <c r="S70" s="280">
        <f>IFERROR(S19/Dashboard_3!$H$6,0)</f>
        <v>0</v>
      </c>
      <c r="T70" s="280">
        <f>IFERROR(T19/Dashboard_3!$H$6,0)</f>
        <v>0</v>
      </c>
      <c r="U70" s="280">
        <f>IFERROR(U19/Dashboard_3!$H$6,0)</f>
        <v>0</v>
      </c>
      <c r="V70" s="280">
        <f>IFERROR(V19/Dashboard_3!$H$6,0)</f>
        <v>0</v>
      </c>
      <c r="W70" s="280">
        <f>IFERROR(W19/Dashboard_3!$H$6,0)</f>
        <v>0</v>
      </c>
      <c r="X70" s="280">
        <f>IFERROR(X19/Dashboard_3!$H$6,0)</f>
        <v>0</v>
      </c>
      <c r="Y70" s="280">
        <f>IFERROR(Y19/Dashboard_3!$H$6,0)</f>
        <v>0</v>
      </c>
      <c r="Z70" s="280">
        <f>IFERROR(Z19/Dashboard_3!$H$6,0)</f>
        <v>0</v>
      </c>
      <c r="AA70" s="280">
        <f>IFERROR(AA19/Dashboard_3!$H$6,0)</f>
        <v>0</v>
      </c>
      <c r="AB70" s="280">
        <f>IFERROR(AB19/Dashboard_3!$H$6,0)</f>
        <v>0</v>
      </c>
      <c r="AC70" s="280">
        <f>IFERROR(AC19/Dashboard_3!$H$6,0)</f>
        <v>0</v>
      </c>
      <c r="AD70" s="280">
        <f>IFERROR(AD19/Dashboard_3!$H$6,0)</f>
        <v>0</v>
      </c>
      <c r="AE70" s="280">
        <f>IFERROR(AE19/Dashboard_3!$H$6,0)</f>
        <v>0</v>
      </c>
      <c r="AF70" s="280">
        <f>IFERROR(AF19/Dashboard_3!$H$6,0)</f>
        <v>0</v>
      </c>
      <c r="AG70" s="280">
        <f>IFERROR(AG19/Dashboard_3!$H$6,0)</f>
        <v>0</v>
      </c>
      <c r="AH70" s="280">
        <f>IFERROR(AH19/Dashboard_3!$H$6,0)</f>
        <v>0</v>
      </c>
      <c r="AI70" s="280">
        <f>IFERROR(AI19/Dashboard_3!$H$6,0)</f>
        <v>0</v>
      </c>
      <c r="AJ70" s="280">
        <f>IFERROR(AJ19/Dashboard_3!$H$6,0)</f>
        <v>0</v>
      </c>
      <c r="AK70" s="280">
        <f>IFERROR(AK19/Dashboard_3!$H$6,0)</f>
        <v>0</v>
      </c>
      <c r="AL70" s="280">
        <f>IFERROR(AL19/Dashboard_3!$H$6,0)</f>
        <v>0</v>
      </c>
      <c r="AM70" s="280">
        <f>IFERROR(AM19/Dashboard_3!$H$6,0)</f>
        <v>0</v>
      </c>
      <c r="AN70" s="280">
        <f>IFERROR(AN19/Dashboard_3!$H$6,0)</f>
        <v>0</v>
      </c>
      <c r="AO70" s="280">
        <f>IFERROR(AO19/Dashboard_3!$H$6,0)</f>
        <v>0</v>
      </c>
      <c r="AP70" s="280">
        <f>IFERROR(AP19/Dashboard_3!$H$6,0)</f>
        <v>0</v>
      </c>
      <c r="AQ70" s="280">
        <f>IFERROR(AQ19/Dashboard_3!$H$6,0)</f>
        <v>0</v>
      </c>
      <c r="AR70" s="280">
        <f>IFERROR(AR19/Dashboard_3!$H$6,0)</f>
        <v>0</v>
      </c>
      <c r="AS70" s="280">
        <f>IFERROR(AS19/Dashboard_3!$H$6,0)</f>
        <v>0</v>
      </c>
      <c r="AT70" s="280">
        <f>IFERROR(AT19/Dashboard_3!$H$6,0)</f>
        <v>0</v>
      </c>
      <c r="AU70" s="280">
        <f>IFERROR(AU19/Dashboard_3!$H$6,0)</f>
        <v>0</v>
      </c>
      <c r="AV70" s="280">
        <f>IFERROR(AV19/Dashboard_3!$H$6,0)</f>
        <v>0</v>
      </c>
      <c r="AW70" s="280">
        <f>IFERROR(AW19/Dashboard_3!$H$6,0)</f>
        <v>0</v>
      </c>
      <c r="AX70" s="280">
        <f>IFERROR(AX19/Dashboard_3!$H$6,0)</f>
        <v>0</v>
      </c>
      <c r="AY70" s="280">
        <f>IFERROR(AY19/Dashboard_3!$H$6,0)</f>
        <v>0</v>
      </c>
      <c r="AZ70" s="180"/>
      <c r="BA70" s="180"/>
    </row>
    <row r="71" spans="1:53" x14ac:dyDescent="0.45">
      <c r="A71" s="41" t="str">
        <f t="shared" si="4"/>
        <v>User specified cost item 4 ($/ year)</v>
      </c>
      <c r="B71" s="280">
        <f>IFERROR(B20/Dashboard_3!$H$6,0)</f>
        <v>0</v>
      </c>
      <c r="C71" s="280">
        <f>IFERROR(C20/Dashboard_3!$H$6,0)</f>
        <v>0</v>
      </c>
      <c r="D71" s="280">
        <f>IFERROR(D20/Dashboard_3!$H$6,0)</f>
        <v>0</v>
      </c>
      <c r="E71" s="280">
        <f>IFERROR(E20/Dashboard_3!$H$6,0)</f>
        <v>0</v>
      </c>
      <c r="F71" s="280">
        <f>IFERROR(F20/Dashboard_3!$H$6,0)</f>
        <v>0</v>
      </c>
      <c r="G71" s="280">
        <f>IFERROR(G20/Dashboard_3!$H$6,0)</f>
        <v>0</v>
      </c>
      <c r="H71" s="280">
        <f>IFERROR(H20/Dashboard_3!$H$6,0)</f>
        <v>0</v>
      </c>
      <c r="I71" s="280">
        <f>IFERROR(I20/Dashboard_3!$H$6,0)</f>
        <v>0</v>
      </c>
      <c r="J71" s="280">
        <f>IFERROR(J20/Dashboard_3!$H$6,0)</f>
        <v>0</v>
      </c>
      <c r="K71" s="280">
        <f>IFERROR(K20/Dashboard_3!$H$6,0)</f>
        <v>0</v>
      </c>
      <c r="L71" s="280">
        <f>IFERROR(L20/Dashboard_3!$H$6,0)</f>
        <v>0</v>
      </c>
      <c r="M71" s="280">
        <f>IFERROR(M20/Dashboard_3!$H$6,0)</f>
        <v>0</v>
      </c>
      <c r="N71" s="280">
        <f>IFERROR(N20/Dashboard_3!$H$6,0)</f>
        <v>0</v>
      </c>
      <c r="O71" s="280">
        <f>IFERROR(O20/Dashboard_3!$H$6,0)</f>
        <v>0</v>
      </c>
      <c r="P71" s="280">
        <f>IFERROR(P20/Dashboard_3!$H$6,0)</f>
        <v>0</v>
      </c>
      <c r="Q71" s="280">
        <f>IFERROR(Q20/Dashboard_3!$H$6,0)</f>
        <v>0</v>
      </c>
      <c r="R71" s="280">
        <f>IFERROR(R20/Dashboard_3!$H$6,0)</f>
        <v>0</v>
      </c>
      <c r="S71" s="280">
        <f>IFERROR(S20/Dashboard_3!$H$6,0)</f>
        <v>0</v>
      </c>
      <c r="T71" s="280">
        <f>IFERROR(T20/Dashboard_3!$H$6,0)</f>
        <v>0</v>
      </c>
      <c r="U71" s="280">
        <f>IFERROR(U20/Dashboard_3!$H$6,0)</f>
        <v>0</v>
      </c>
      <c r="V71" s="280">
        <f>IFERROR(V20/Dashboard_3!$H$6,0)</f>
        <v>0</v>
      </c>
      <c r="W71" s="280">
        <f>IFERROR(W20/Dashboard_3!$H$6,0)</f>
        <v>0</v>
      </c>
      <c r="X71" s="280">
        <f>IFERROR(X20/Dashboard_3!$H$6,0)</f>
        <v>0</v>
      </c>
      <c r="Y71" s="280">
        <f>IFERROR(Y20/Dashboard_3!$H$6,0)</f>
        <v>0</v>
      </c>
      <c r="Z71" s="280">
        <f>IFERROR(Z20/Dashboard_3!$H$6,0)</f>
        <v>0</v>
      </c>
      <c r="AA71" s="280">
        <f>IFERROR(AA20/Dashboard_3!$H$6,0)</f>
        <v>0</v>
      </c>
      <c r="AB71" s="280">
        <f>IFERROR(AB20/Dashboard_3!$H$6,0)</f>
        <v>0</v>
      </c>
      <c r="AC71" s="280">
        <f>IFERROR(AC20/Dashboard_3!$H$6,0)</f>
        <v>0</v>
      </c>
      <c r="AD71" s="280">
        <f>IFERROR(AD20/Dashboard_3!$H$6,0)</f>
        <v>0</v>
      </c>
      <c r="AE71" s="280">
        <f>IFERROR(AE20/Dashboard_3!$H$6,0)</f>
        <v>0</v>
      </c>
      <c r="AF71" s="280">
        <f>IFERROR(AF20/Dashboard_3!$H$6,0)</f>
        <v>0</v>
      </c>
      <c r="AG71" s="280">
        <f>IFERROR(AG20/Dashboard_3!$H$6,0)</f>
        <v>0</v>
      </c>
      <c r="AH71" s="280">
        <f>IFERROR(AH20/Dashboard_3!$H$6,0)</f>
        <v>0</v>
      </c>
      <c r="AI71" s="280">
        <f>IFERROR(AI20/Dashboard_3!$H$6,0)</f>
        <v>0</v>
      </c>
      <c r="AJ71" s="280">
        <f>IFERROR(AJ20/Dashboard_3!$H$6,0)</f>
        <v>0</v>
      </c>
      <c r="AK71" s="280">
        <f>IFERROR(AK20/Dashboard_3!$H$6,0)</f>
        <v>0</v>
      </c>
      <c r="AL71" s="280">
        <f>IFERROR(AL20/Dashboard_3!$H$6,0)</f>
        <v>0</v>
      </c>
      <c r="AM71" s="280">
        <f>IFERROR(AM20/Dashboard_3!$H$6,0)</f>
        <v>0</v>
      </c>
      <c r="AN71" s="280">
        <f>IFERROR(AN20/Dashboard_3!$H$6,0)</f>
        <v>0</v>
      </c>
      <c r="AO71" s="280">
        <f>IFERROR(AO20/Dashboard_3!$H$6,0)</f>
        <v>0</v>
      </c>
      <c r="AP71" s="280">
        <f>IFERROR(AP20/Dashboard_3!$H$6,0)</f>
        <v>0</v>
      </c>
      <c r="AQ71" s="280">
        <f>IFERROR(AQ20/Dashboard_3!$H$6,0)</f>
        <v>0</v>
      </c>
      <c r="AR71" s="280">
        <f>IFERROR(AR20/Dashboard_3!$H$6,0)</f>
        <v>0</v>
      </c>
      <c r="AS71" s="280">
        <f>IFERROR(AS20/Dashboard_3!$H$6,0)</f>
        <v>0</v>
      </c>
      <c r="AT71" s="280">
        <f>IFERROR(AT20/Dashboard_3!$H$6,0)</f>
        <v>0</v>
      </c>
      <c r="AU71" s="280">
        <f>IFERROR(AU20/Dashboard_3!$H$6,0)</f>
        <v>0</v>
      </c>
      <c r="AV71" s="280">
        <f>IFERROR(AV20/Dashboard_3!$H$6,0)</f>
        <v>0</v>
      </c>
      <c r="AW71" s="280">
        <f>IFERROR(AW20/Dashboard_3!$H$6,0)</f>
        <v>0</v>
      </c>
      <c r="AX71" s="280">
        <f>IFERROR(AX20/Dashboard_3!$H$6,0)</f>
        <v>0</v>
      </c>
      <c r="AY71" s="280">
        <f>IFERROR(AY20/Dashboard_3!$H$6,0)</f>
        <v>0</v>
      </c>
      <c r="AZ71" s="180"/>
      <c r="BA71" s="180"/>
    </row>
    <row r="72" spans="1:53" x14ac:dyDescent="0.45">
      <c r="A72" s="41" t="str">
        <f t="shared" si="4"/>
        <v>User specified cost item 5 ($/ year)</v>
      </c>
      <c r="B72" s="280">
        <f>IFERROR(B21/Dashboard_3!$H$6,0)</f>
        <v>0</v>
      </c>
      <c r="C72" s="280">
        <f>IFERROR(C21/Dashboard_3!$H$6,0)</f>
        <v>0</v>
      </c>
      <c r="D72" s="280">
        <f>IFERROR(D21/Dashboard_3!$H$6,0)</f>
        <v>0</v>
      </c>
      <c r="E72" s="280">
        <f>IFERROR(E21/Dashboard_3!$H$6,0)</f>
        <v>0</v>
      </c>
      <c r="F72" s="280">
        <f>IFERROR(F21/Dashboard_3!$H$6,0)</f>
        <v>0</v>
      </c>
      <c r="G72" s="280">
        <f>IFERROR(G21/Dashboard_3!$H$6,0)</f>
        <v>0</v>
      </c>
      <c r="H72" s="280">
        <f>IFERROR(H21/Dashboard_3!$H$6,0)</f>
        <v>0</v>
      </c>
      <c r="I72" s="280">
        <f>IFERROR(I21/Dashboard_3!$H$6,0)</f>
        <v>0</v>
      </c>
      <c r="J72" s="280">
        <f>IFERROR(J21/Dashboard_3!$H$6,0)</f>
        <v>0</v>
      </c>
      <c r="K72" s="280">
        <f>IFERROR(K21/Dashboard_3!$H$6,0)</f>
        <v>0</v>
      </c>
      <c r="L72" s="280">
        <f>IFERROR(L21/Dashboard_3!$H$6,0)</f>
        <v>0</v>
      </c>
      <c r="M72" s="280">
        <f>IFERROR(M21/Dashboard_3!$H$6,0)</f>
        <v>0</v>
      </c>
      <c r="N72" s="280">
        <f>IFERROR(N21/Dashboard_3!$H$6,0)</f>
        <v>0</v>
      </c>
      <c r="O72" s="280">
        <f>IFERROR(O21/Dashboard_3!$H$6,0)</f>
        <v>0</v>
      </c>
      <c r="P72" s="280">
        <f>IFERROR(P21/Dashboard_3!$H$6,0)</f>
        <v>0</v>
      </c>
      <c r="Q72" s="280">
        <f>IFERROR(Q21/Dashboard_3!$H$6,0)</f>
        <v>0</v>
      </c>
      <c r="R72" s="280">
        <f>IFERROR(R21/Dashboard_3!$H$6,0)</f>
        <v>0</v>
      </c>
      <c r="S72" s="280">
        <f>IFERROR(S21/Dashboard_3!$H$6,0)</f>
        <v>0</v>
      </c>
      <c r="T72" s="280">
        <f>IFERROR(T21/Dashboard_3!$H$6,0)</f>
        <v>0</v>
      </c>
      <c r="U72" s="280">
        <f>IFERROR(U21/Dashboard_3!$H$6,0)</f>
        <v>0</v>
      </c>
      <c r="V72" s="280">
        <f>IFERROR(V21/Dashboard_3!$H$6,0)</f>
        <v>0</v>
      </c>
      <c r="W72" s="280">
        <f>IFERROR(W21/Dashboard_3!$H$6,0)</f>
        <v>0</v>
      </c>
      <c r="X72" s="280">
        <f>IFERROR(X21/Dashboard_3!$H$6,0)</f>
        <v>0</v>
      </c>
      <c r="Y72" s="280">
        <f>IFERROR(Y21/Dashboard_3!$H$6,0)</f>
        <v>0</v>
      </c>
      <c r="Z72" s="280">
        <f>IFERROR(Z21/Dashboard_3!$H$6,0)</f>
        <v>0</v>
      </c>
      <c r="AA72" s="280">
        <f>IFERROR(AA21/Dashboard_3!$H$6,0)</f>
        <v>0</v>
      </c>
      <c r="AB72" s="280">
        <f>IFERROR(AB21/Dashboard_3!$H$6,0)</f>
        <v>0</v>
      </c>
      <c r="AC72" s="280">
        <f>IFERROR(AC21/Dashboard_3!$H$6,0)</f>
        <v>0</v>
      </c>
      <c r="AD72" s="280">
        <f>IFERROR(AD21/Dashboard_3!$H$6,0)</f>
        <v>0</v>
      </c>
      <c r="AE72" s="280">
        <f>IFERROR(AE21/Dashboard_3!$H$6,0)</f>
        <v>0</v>
      </c>
      <c r="AF72" s="280">
        <f>IFERROR(AF21/Dashboard_3!$H$6,0)</f>
        <v>0</v>
      </c>
      <c r="AG72" s="280">
        <f>IFERROR(AG21/Dashboard_3!$H$6,0)</f>
        <v>0</v>
      </c>
      <c r="AH72" s="280">
        <f>IFERROR(AH21/Dashboard_3!$H$6,0)</f>
        <v>0</v>
      </c>
      <c r="AI72" s="280">
        <f>IFERROR(AI21/Dashboard_3!$H$6,0)</f>
        <v>0</v>
      </c>
      <c r="AJ72" s="280">
        <f>IFERROR(AJ21/Dashboard_3!$H$6,0)</f>
        <v>0</v>
      </c>
      <c r="AK72" s="280">
        <f>IFERROR(AK21/Dashboard_3!$H$6,0)</f>
        <v>0</v>
      </c>
      <c r="AL72" s="280">
        <f>IFERROR(AL21/Dashboard_3!$H$6,0)</f>
        <v>0</v>
      </c>
      <c r="AM72" s="280">
        <f>IFERROR(AM21/Dashboard_3!$H$6,0)</f>
        <v>0</v>
      </c>
      <c r="AN72" s="280">
        <f>IFERROR(AN21/Dashboard_3!$H$6,0)</f>
        <v>0</v>
      </c>
      <c r="AO72" s="280">
        <f>IFERROR(AO21/Dashboard_3!$H$6,0)</f>
        <v>0</v>
      </c>
      <c r="AP72" s="280">
        <f>IFERROR(AP21/Dashboard_3!$H$6,0)</f>
        <v>0</v>
      </c>
      <c r="AQ72" s="280">
        <f>IFERROR(AQ21/Dashboard_3!$H$6,0)</f>
        <v>0</v>
      </c>
      <c r="AR72" s="280">
        <f>IFERROR(AR21/Dashboard_3!$H$6,0)</f>
        <v>0</v>
      </c>
      <c r="AS72" s="280">
        <f>IFERROR(AS21/Dashboard_3!$H$6,0)</f>
        <v>0</v>
      </c>
      <c r="AT72" s="280">
        <f>IFERROR(AT21/Dashboard_3!$H$6,0)</f>
        <v>0</v>
      </c>
      <c r="AU72" s="280">
        <f>IFERROR(AU21/Dashboard_3!$H$6,0)</f>
        <v>0</v>
      </c>
      <c r="AV72" s="280">
        <f>IFERROR(AV21/Dashboard_3!$H$6,0)</f>
        <v>0</v>
      </c>
      <c r="AW72" s="280">
        <f>IFERROR(AW21/Dashboard_3!$H$6,0)</f>
        <v>0</v>
      </c>
      <c r="AX72" s="280">
        <f>IFERROR(AX21/Dashboard_3!$H$6,0)</f>
        <v>0</v>
      </c>
      <c r="AY72" s="280">
        <f>IFERROR(AY21/Dashboard_3!$H$6,0)</f>
        <v>0</v>
      </c>
      <c r="AZ72" s="180"/>
      <c r="BA72" s="180"/>
    </row>
    <row r="73" spans="1:53" x14ac:dyDescent="0.45">
      <c r="A73" s="281" t="s">
        <v>298</v>
      </c>
      <c r="B73" s="283">
        <f t="shared" ref="B73:AG73" si="5">SUM(B56:B72)</f>
        <v>5322.9805845622996</v>
      </c>
      <c r="C73" s="283">
        <f t="shared" si="5"/>
        <v>5517.9611691246</v>
      </c>
      <c r="D73" s="283">
        <f t="shared" si="5"/>
        <v>5712.9417536868996</v>
      </c>
      <c r="E73" s="283">
        <f t="shared" si="5"/>
        <v>5907.9223382492</v>
      </c>
      <c r="F73" s="283">
        <f t="shared" si="5"/>
        <v>6102.9029228114996</v>
      </c>
      <c r="G73" s="283">
        <f t="shared" si="5"/>
        <v>6297.8835073738001</v>
      </c>
      <c r="H73" s="283">
        <f t="shared" si="5"/>
        <v>6492.8640919360996</v>
      </c>
      <c r="I73" s="283">
        <f t="shared" si="5"/>
        <v>6687.8446764984001</v>
      </c>
      <c r="J73" s="283">
        <f t="shared" si="5"/>
        <v>6882.8252610606996</v>
      </c>
      <c r="K73" s="283">
        <f t="shared" si="5"/>
        <v>6974.2825467892999</v>
      </c>
      <c r="L73" s="283">
        <f t="shared" si="5"/>
        <v>7001.7398325178992</v>
      </c>
      <c r="M73" s="283">
        <f t="shared" si="5"/>
        <v>7029.1971182464995</v>
      </c>
      <c r="N73" s="283">
        <f t="shared" si="5"/>
        <v>7056.6544039750997</v>
      </c>
      <c r="O73" s="283">
        <f t="shared" si="5"/>
        <v>7084.1116897037</v>
      </c>
      <c r="P73" s="283">
        <f t="shared" si="5"/>
        <v>7111.5689754322993</v>
      </c>
      <c r="Q73" s="283">
        <f t="shared" si="5"/>
        <v>7139.0262611608996</v>
      </c>
      <c r="R73" s="283">
        <f t="shared" si="5"/>
        <v>7166.4835468894998</v>
      </c>
      <c r="S73" s="283">
        <f t="shared" si="5"/>
        <v>7193.9408326180992</v>
      </c>
      <c r="T73" s="283">
        <f t="shared" si="5"/>
        <v>7221.3981183466994</v>
      </c>
      <c r="U73" s="283">
        <f t="shared" si="5"/>
        <v>7248.8554040752997</v>
      </c>
      <c r="V73" s="283">
        <f t="shared" si="5"/>
        <v>7276.312689803899</v>
      </c>
      <c r="W73" s="283">
        <f t="shared" si="5"/>
        <v>7303.7699755324993</v>
      </c>
      <c r="X73" s="283">
        <f t="shared" si="5"/>
        <v>7331.2272612610996</v>
      </c>
      <c r="Y73" s="283">
        <f t="shared" si="5"/>
        <v>7358.6845469896998</v>
      </c>
      <c r="Z73" s="283">
        <f t="shared" si="5"/>
        <v>7386.1418327182992</v>
      </c>
      <c r="AA73" s="283">
        <f t="shared" si="5"/>
        <v>7413.5991184468994</v>
      </c>
      <c r="AB73" s="283">
        <f t="shared" si="5"/>
        <v>7441.0564041754997</v>
      </c>
      <c r="AC73" s="283">
        <f t="shared" si="5"/>
        <v>7468.513689904099</v>
      </c>
      <c r="AD73" s="283">
        <f t="shared" si="5"/>
        <v>7495.9709756326993</v>
      </c>
      <c r="AE73" s="283">
        <f t="shared" si="5"/>
        <v>7523.4282613612995</v>
      </c>
      <c r="AF73" s="283">
        <f t="shared" si="5"/>
        <v>7550.8855470898998</v>
      </c>
      <c r="AG73" s="283">
        <f t="shared" si="5"/>
        <v>7578.3428328184991</v>
      </c>
      <c r="AH73" s="283">
        <f t="shared" ref="AH73:AY73" si="6">SUM(AH56:AH72)</f>
        <v>7605.8001185470994</v>
      </c>
      <c r="AI73" s="283">
        <f t="shared" si="6"/>
        <v>7633.2574042756996</v>
      </c>
      <c r="AJ73" s="283">
        <f t="shared" si="6"/>
        <v>7660.714690004299</v>
      </c>
      <c r="AK73" s="283">
        <f t="shared" si="6"/>
        <v>7688.1719757328992</v>
      </c>
      <c r="AL73" s="283">
        <f t="shared" si="6"/>
        <v>7715.6292614614995</v>
      </c>
      <c r="AM73" s="283">
        <f t="shared" si="6"/>
        <v>7743.0865471900988</v>
      </c>
      <c r="AN73" s="283">
        <f t="shared" si="6"/>
        <v>7770.5438329186991</v>
      </c>
      <c r="AO73" s="283">
        <f t="shared" si="6"/>
        <v>7798.0011186472993</v>
      </c>
      <c r="AP73" s="283">
        <f t="shared" si="6"/>
        <v>7825.4584043758996</v>
      </c>
      <c r="AQ73" s="283">
        <f t="shared" si="6"/>
        <v>7852.9156901044998</v>
      </c>
      <c r="AR73" s="283">
        <f t="shared" si="6"/>
        <v>7880.3729758330992</v>
      </c>
      <c r="AS73" s="283">
        <f t="shared" si="6"/>
        <v>7907.8302615616994</v>
      </c>
      <c r="AT73" s="283">
        <f t="shared" si="6"/>
        <v>7935.2875472902997</v>
      </c>
      <c r="AU73" s="283">
        <f t="shared" si="6"/>
        <v>7962.7448330189</v>
      </c>
      <c r="AV73" s="283">
        <f t="shared" si="6"/>
        <v>7990.2021187475002</v>
      </c>
      <c r="AW73" s="283">
        <f t="shared" si="6"/>
        <v>8017.6594044761005</v>
      </c>
      <c r="AX73" s="283">
        <f t="shared" si="6"/>
        <v>8045.1166902046998</v>
      </c>
      <c r="AY73" s="283">
        <f t="shared" si="6"/>
        <v>8072.5739759333001</v>
      </c>
    </row>
    <row r="74" spans="1:53" x14ac:dyDescent="0.45">
      <c r="A74" s="41"/>
    </row>
    <row r="75" spans="1:53" x14ac:dyDescent="0.45">
      <c r="A75" s="41"/>
    </row>
    <row r="76" spans="1:53" x14ac:dyDescent="0.45">
      <c r="A76" s="41"/>
    </row>
    <row r="77" spans="1:53" x14ac:dyDescent="0.45">
      <c r="A77" s="41"/>
    </row>
    <row r="78" spans="1:53" x14ac:dyDescent="0.45">
      <c r="A78" s="41"/>
    </row>
    <row r="79" spans="1:53" x14ac:dyDescent="0.45">
      <c r="A79" s="41"/>
    </row>
    <row r="80" spans="1:53" x14ac:dyDescent="0.45">
      <c r="A80" s="41"/>
    </row>
    <row r="81" x14ac:dyDescent="0.45"/>
    <row r="82" x14ac:dyDescent="0.45"/>
    <row r="83" x14ac:dyDescent="0.45"/>
    <row r="84" x14ac:dyDescent="0.45"/>
    <row r="85" x14ac:dyDescent="0.45"/>
    <row r="86" x14ac:dyDescent="0.45"/>
    <row r="87" x14ac:dyDescent="0.45"/>
    <row r="88" x14ac:dyDescent="0.45"/>
    <row r="89" x14ac:dyDescent="0.45"/>
    <row r="90" x14ac:dyDescent="0.45"/>
    <row r="91" x14ac:dyDescent="0.45"/>
    <row r="92" x14ac:dyDescent="0.45"/>
    <row r="93" x14ac:dyDescent="0.45"/>
    <row r="94" x14ac:dyDescent="0.45"/>
    <row r="95" x14ac:dyDescent="0.45"/>
    <row r="96" x14ac:dyDescent="0.45"/>
    <row r="97" x14ac:dyDescent="0.45"/>
    <row r="98" x14ac:dyDescent="0.45"/>
    <row r="99" x14ac:dyDescent="0.45"/>
    <row r="100" x14ac:dyDescent="0.45"/>
    <row r="101" x14ac:dyDescent="0.45"/>
    <row r="102" x14ac:dyDescent="0.45"/>
    <row r="103" x14ac:dyDescent="0.45"/>
    <row r="104" x14ac:dyDescent="0.45"/>
  </sheetData>
  <sheetProtection algorithmName="SHA-512" hashValue="dZCay0QJGBWp0kaq3UfDTvy/Kyxk7vM0lEagnDLSw++rVssDLMX5pAb6QKGiubG6UXqat+YaD0vAInOlhU8t7Q==" saltValue="EWTo3Vdf/z1DwinX3gyN+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139F-0977-427A-BB94-9C4ACB4EB6A8}">
  <sheetPr>
    <pageSetUpPr fitToPage="1"/>
  </sheetPr>
  <dimension ref="A1:L13"/>
  <sheetViews>
    <sheetView showGridLines="0" zoomScale="160" zoomScaleNormal="160" workbookViewId="0">
      <selection activeCell="B38" sqref="B38"/>
    </sheetView>
  </sheetViews>
  <sheetFormatPr defaultColWidth="0" defaultRowHeight="14.25" zeroHeight="1" x14ac:dyDescent="0.45"/>
  <cols>
    <col min="1" max="1" width="2.73046875" customWidth="1"/>
    <col min="2" max="11" width="9.1328125" customWidth="1"/>
    <col min="12" max="12" width="10.3984375" customWidth="1"/>
    <col min="13" max="16384" width="9.1328125" hidden="1"/>
  </cols>
  <sheetData>
    <row r="1" spans="8:9" x14ac:dyDescent="0.45"/>
    <row r="3" spans="8:9" x14ac:dyDescent="0.45">
      <c r="H3" s="30" t="s">
        <v>100</v>
      </c>
    </row>
    <row r="4" spans="8:9" x14ac:dyDescent="0.45">
      <c r="H4" s="107"/>
      <c r="I4" t="s">
        <v>101</v>
      </c>
    </row>
    <row r="5" spans="8:9" x14ac:dyDescent="0.45">
      <c r="H5" s="163"/>
      <c r="I5" t="s">
        <v>102</v>
      </c>
    </row>
    <row r="6" spans="8:9" x14ac:dyDescent="0.45"/>
    <row r="7" spans="8:9" x14ac:dyDescent="0.45"/>
    <row r="8" spans="8:9" x14ac:dyDescent="0.45"/>
    <row r="9" spans="8:9" x14ac:dyDescent="0.45"/>
    <row r="10" spans="8:9" x14ac:dyDescent="0.45"/>
    <row r="11" spans="8:9" x14ac:dyDescent="0.45"/>
    <row r="12" spans="8:9" x14ac:dyDescent="0.45"/>
    <row r="13" spans="8:9" x14ac:dyDescent="0.45"/>
  </sheetData>
  <sheetProtection algorithmName="SHA-512" hashValue="/T8sDkI/0ppGiTgD2AkXG07GKPq2724HDP/TuhQ7WkgcuVQ1a4NaNl67dGXnxLGg1EdnHwuj7zsEi076ZFDK/w==" saltValue="QLYjdzML2MMX/a3THsLK+g==" spinCount="100000" sheet="1" selectLockedCells="1" selectUnlockedCells="1"/>
  <pageMargins left="0.7" right="0.7" top="0.75" bottom="0.75" header="0.3" footer="0.3"/>
  <pageSetup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7AA0-4F61-4CCF-9433-EE3C53579367}">
  <dimension ref="B2:C31"/>
  <sheetViews>
    <sheetView topLeftCell="B2" workbookViewId="0">
      <selection activeCell="C20" sqref="C20"/>
    </sheetView>
  </sheetViews>
  <sheetFormatPr defaultColWidth="0" defaultRowHeight="14.25" zeroHeight="1" x14ac:dyDescent="0.45"/>
  <cols>
    <col min="1" max="1" width="9.1328125" hidden="1" customWidth="1"/>
    <col min="2" max="2" width="42" customWidth="1"/>
    <col min="3" max="3" width="83.265625" customWidth="1"/>
    <col min="4" max="16384" width="9.1328125" hidden="1"/>
  </cols>
  <sheetData>
    <row r="2" spans="2:3" x14ac:dyDescent="0.45">
      <c r="B2" s="347" t="s">
        <v>136</v>
      </c>
      <c r="C2" s="348" t="s">
        <v>11</v>
      </c>
    </row>
    <row r="3" spans="2:3" x14ac:dyDescent="0.45">
      <c r="B3" s="349" t="s">
        <v>404</v>
      </c>
      <c r="C3" s="349" t="s">
        <v>254</v>
      </c>
    </row>
    <row r="4" spans="2:3" x14ac:dyDescent="0.45">
      <c r="B4" s="349" t="s">
        <v>405</v>
      </c>
      <c r="C4" s="349" t="s">
        <v>402</v>
      </c>
    </row>
    <row r="5" spans="2:3" x14ac:dyDescent="0.45">
      <c r="B5" s="349" t="s">
        <v>406</v>
      </c>
      <c r="C5" s="349" t="s">
        <v>140</v>
      </c>
    </row>
    <row r="6" spans="2:3" x14ac:dyDescent="0.45">
      <c r="B6" s="349" t="s">
        <v>407</v>
      </c>
      <c r="C6" s="350" t="s">
        <v>401</v>
      </c>
    </row>
    <row r="7" spans="2:3" x14ac:dyDescent="0.45">
      <c r="B7" s="349" t="s">
        <v>251</v>
      </c>
      <c r="C7" s="349" t="s">
        <v>253</v>
      </c>
    </row>
    <row r="8" spans="2:3" x14ac:dyDescent="0.45">
      <c r="B8" s="349" t="s">
        <v>408</v>
      </c>
      <c r="C8" s="349" t="s">
        <v>143</v>
      </c>
    </row>
    <row r="9" spans="2:3" x14ac:dyDescent="0.45">
      <c r="B9" s="349" t="s">
        <v>409</v>
      </c>
      <c r="C9" s="349" t="s">
        <v>142</v>
      </c>
    </row>
    <row r="10" spans="2:3" x14ac:dyDescent="0.45">
      <c r="B10" s="349" t="s">
        <v>87</v>
      </c>
      <c r="C10" s="349" t="s">
        <v>410</v>
      </c>
    </row>
    <row r="11" spans="2:3" x14ac:dyDescent="0.45">
      <c r="B11" s="349" t="s">
        <v>411</v>
      </c>
      <c r="C11" s="349" t="s">
        <v>153</v>
      </c>
    </row>
    <row r="12" spans="2:3" x14ac:dyDescent="0.45">
      <c r="B12" s="349" t="s">
        <v>412</v>
      </c>
      <c r="C12" s="349" t="s">
        <v>395</v>
      </c>
    </row>
    <row r="13" spans="2:3" x14ac:dyDescent="0.45">
      <c r="B13" s="349" t="s">
        <v>413</v>
      </c>
      <c r="C13" s="349" t="s">
        <v>164</v>
      </c>
    </row>
    <row r="14" spans="2:3" x14ac:dyDescent="0.45">
      <c r="B14" s="349" t="s">
        <v>414</v>
      </c>
      <c r="C14" s="349" t="s">
        <v>141</v>
      </c>
    </row>
    <row r="15" spans="2:3" x14ac:dyDescent="0.45">
      <c r="B15" s="349" t="s">
        <v>415</v>
      </c>
      <c r="C15" s="349" t="s">
        <v>365</v>
      </c>
    </row>
    <row r="16" spans="2:3" x14ac:dyDescent="0.45">
      <c r="B16" s="349" t="s">
        <v>416</v>
      </c>
      <c r="C16" s="349" t="s">
        <v>139</v>
      </c>
    </row>
    <row r="17" spans="2:3" x14ac:dyDescent="0.45">
      <c r="B17" s="349" t="s">
        <v>417</v>
      </c>
      <c r="C17" s="349" t="s">
        <v>146</v>
      </c>
    </row>
    <row r="18" spans="2:3" x14ac:dyDescent="0.45">
      <c r="B18" s="349" t="s">
        <v>418</v>
      </c>
      <c r="C18" s="349" t="s">
        <v>138</v>
      </c>
    </row>
    <row r="19" spans="2:3" x14ac:dyDescent="0.45">
      <c r="B19" s="349" t="s">
        <v>419</v>
      </c>
      <c r="C19" s="349" t="s">
        <v>252</v>
      </c>
    </row>
    <row r="20" spans="2:3" x14ac:dyDescent="0.45">
      <c r="B20" s="349" t="s">
        <v>80</v>
      </c>
      <c r="C20" s="349" t="s">
        <v>144</v>
      </c>
    </row>
    <row r="21" spans="2:3" x14ac:dyDescent="0.45">
      <c r="B21" s="349" t="s">
        <v>346</v>
      </c>
      <c r="C21" s="349" t="s">
        <v>396</v>
      </c>
    </row>
    <row r="22" spans="2:3" x14ac:dyDescent="0.45">
      <c r="B22" s="349" t="s">
        <v>323</v>
      </c>
      <c r="C22" s="349" t="s">
        <v>397</v>
      </c>
    </row>
    <row r="23" spans="2:3" x14ac:dyDescent="0.45">
      <c r="B23" s="349" t="s">
        <v>420</v>
      </c>
      <c r="C23" s="349" t="s">
        <v>204</v>
      </c>
    </row>
    <row r="24" spans="2:3" hidden="1" x14ac:dyDescent="0.45">
      <c r="B24" s="349" t="s">
        <v>340</v>
      </c>
      <c r="C24" s="349" t="s">
        <v>403</v>
      </c>
    </row>
    <row r="25" spans="2:3" hidden="1" x14ac:dyDescent="0.45">
      <c r="B25" t="s">
        <v>259</v>
      </c>
    </row>
    <row r="26" spans="2:3" hidden="1" x14ac:dyDescent="0.45">
      <c r="B26" t="s">
        <v>260</v>
      </c>
    </row>
    <row r="27" spans="2:3" hidden="1" x14ac:dyDescent="0.45">
      <c r="B27" t="s">
        <v>261</v>
      </c>
    </row>
    <row r="28" spans="2:3" hidden="1" x14ac:dyDescent="0.45">
      <c r="B28" t="s">
        <v>262</v>
      </c>
    </row>
    <row r="29" spans="2:3" hidden="1" x14ac:dyDescent="0.45">
      <c r="B29" t="s">
        <v>263</v>
      </c>
    </row>
    <row r="30" spans="2:3" x14ac:dyDescent="0.45">
      <c r="B30" s="349" t="s">
        <v>340</v>
      </c>
      <c r="C30" s="349" t="s">
        <v>403</v>
      </c>
    </row>
    <row r="31" spans="2:3" x14ac:dyDescent="0.45">
      <c r="B31" s="355"/>
    </row>
  </sheetData>
  <sheetProtection sheet="1" objects="1" scenarios="1" formatCells="0" insertColumns="0" insertRows="0" insertHyperlinks="0" sort="0" autoFilter="0"/>
  <sortState xmlns:xlrd2="http://schemas.microsoft.com/office/spreadsheetml/2017/richdata2" ref="B3:C31">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theme="8"/>
  </sheetPr>
  <dimension ref="A1:T92"/>
  <sheetViews>
    <sheetView workbookViewId="0">
      <selection activeCell="C14" sqref="C14:I14"/>
    </sheetView>
  </sheetViews>
  <sheetFormatPr defaultColWidth="8.86328125" defaultRowHeight="14.25" x14ac:dyDescent="0.45"/>
  <cols>
    <col min="2" max="2" width="49.73046875" bestFit="1" customWidth="1"/>
    <col min="13" max="20" width="0" hidden="1" customWidth="1"/>
  </cols>
  <sheetData>
    <row r="1" spans="1:20" x14ac:dyDescent="0.45">
      <c r="B1" t="s">
        <v>1</v>
      </c>
    </row>
    <row r="2" spans="1:20" x14ac:dyDescent="0.45">
      <c r="N2">
        <v>225</v>
      </c>
      <c r="O2">
        <v>871</v>
      </c>
      <c r="P2">
        <v>2350</v>
      </c>
      <c r="Q2">
        <v>3900</v>
      </c>
    </row>
    <row r="3" spans="1:20" x14ac:dyDescent="0.45">
      <c r="C3" s="380" t="str">
        <f>Data_Lists!B2</f>
        <v>Volume 25-50L</v>
      </c>
      <c r="D3" s="380"/>
      <c r="E3" s="380"/>
      <c r="F3" s="380"/>
      <c r="G3" s="380"/>
      <c r="H3" s="380"/>
      <c r="I3" s="380"/>
      <c r="J3" s="380"/>
    </row>
    <row r="4" spans="1:20" ht="14.65" thickBot="1" x14ac:dyDescent="0.5">
      <c r="B4">
        <v>1</v>
      </c>
      <c r="C4" s="5">
        <v>2</v>
      </c>
      <c r="D4" s="5">
        <v>3</v>
      </c>
      <c r="E4" s="5">
        <v>4</v>
      </c>
      <c r="F4" s="5">
        <v>5</v>
      </c>
      <c r="G4" s="5">
        <v>6</v>
      </c>
      <c r="H4" s="5">
        <v>7</v>
      </c>
      <c r="I4" s="5">
        <v>8</v>
      </c>
      <c r="J4" s="5">
        <v>9</v>
      </c>
    </row>
    <row r="5" spans="1:20" ht="14.65" thickBot="1" x14ac:dyDescent="0.5">
      <c r="B5" s="1" t="s">
        <v>120</v>
      </c>
      <c r="C5" s="2" t="s">
        <v>2</v>
      </c>
      <c r="D5" s="2" t="s">
        <v>3</v>
      </c>
      <c r="E5" s="2" t="s">
        <v>4</v>
      </c>
      <c r="F5" s="2" t="s">
        <v>5</v>
      </c>
      <c r="G5" s="2" t="s">
        <v>6</v>
      </c>
      <c r="H5" s="2" t="s">
        <v>7</v>
      </c>
      <c r="I5" s="2" t="s">
        <v>8</v>
      </c>
      <c r="J5" s="2" t="s">
        <v>0</v>
      </c>
    </row>
    <row r="6" spans="1:20" ht="14.65" thickBot="1" x14ac:dyDescent="0.5">
      <c r="A6">
        <v>1</v>
      </c>
      <c r="B6" s="9" t="s">
        <v>150</v>
      </c>
      <c r="C6" s="3">
        <v>567.35473490000004</v>
      </c>
      <c r="D6" s="3">
        <v>615.92475000000002</v>
      </c>
      <c r="E6" s="3">
        <v>678.27696000000003</v>
      </c>
      <c r="F6" s="3">
        <v>725</v>
      </c>
      <c r="G6" s="3">
        <v>771.71024569999997</v>
      </c>
      <c r="H6" s="3">
        <v>834.05801599999995</v>
      </c>
      <c r="I6" s="3">
        <v>883.62731610000003</v>
      </c>
      <c r="J6" s="3">
        <v>0</v>
      </c>
    </row>
    <row r="7" spans="1:20" ht="14.65" thickBot="1" x14ac:dyDescent="0.5">
      <c r="A7">
        <v>2</v>
      </c>
      <c r="B7" s="10" t="s">
        <v>149</v>
      </c>
      <c r="C7" s="4">
        <v>57.742260590000001</v>
      </c>
      <c r="D7" s="4">
        <v>62.655392310000003</v>
      </c>
      <c r="E7" s="4">
        <v>68.996992640000002</v>
      </c>
      <c r="F7" s="4">
        <v>73.75</v>
      </c>
      <c r="G7" s="4">
        <v>78.501204610000002</v>
      </c>
      <c r="H7" s="4">
        <v>84.843507869999996</v>
      </c>
      <c r="I7" s="4">
        <v>89.842259979999994</v>
      </c>
      <c r="J7" s="3">
        <v>0</v>
      </c>
      <c r="N7" s="2" t="s">
        <v>2</v>
      </c>
      <c r="O7" s="2" t="s">
        <v>3</v>
      </c>
      <c r="P7" s="2" t="s">
        <v>4</v>
      </c>
      <c r="Q7" s="2" t="s">
        <v>5</v>
      </c>
      <c r="R7" s="2" t="s">
        <v>6</v>
      </c>
      <c r="S7" s="2" t="s">
        <v>7</v>
      </c>
      <c r="T7" s="2" t="s">
        <v>8</v>
      </c>
    </row>
    <row r="8" spans="1:20" x14ac:dyDescent="0.45">
      <c r="A8">
        <v>3</v>
      </c>
      <c r="B8" s="10" t="s">
        <v>156</v>
      </c>
      <c r="C8" s="4">
        <v>120.91500139999999</v>
      </c>
      <c r="D8" s="4">
        <v>131.2836537</v>
      </c>
      <c r="E8" s="4">
        <v>144.6987215</v>
      </c>
      <c r="F8" s="4">
        <v>154.75</v>
      </c>
      <c r="G8" s="4">
        <v>164.798305</v>
      </c>
      <c r="H8" s="4">
        <v>178.20832179999999</v>
      </c>
      <c r="I8" s="4">
        <v>188.9333555</v>
      </c>
      <c r="J8" s="3">
        <v>0</v>
      </c>
      <c r="N8">
        <v>225</v>
      </c>
      <c r="O8">
        <f>_xlfn.PERCENTILE.INC(N2:Q2,5%)</f>
        <v>321.89999999999998</v>
      </c>
      <c r="P8">
        <f>_xlfn.PERCENTILE.INC(N2:Q2,25%)</f>
        <v>709.5</v>
      </c>
      <c r="Q8">
        <v>871</v>
      </c>
      <c r="R8">
        <f>_xlfn.PERCENTILE.INC(N2:Q2,75%)</f>
        <v>2737.5</v>
      </c>
      <c r="S8">
        <f>_xlfn.PERCENTILE.INC(N2:Q2,95%)</f>
        <v>3667.4999999999995</v>
      </c>
      <c r="T8">
        <v>3900</v>
      </c>
    </row>
    <row r="9" spans="1:20" ht="15.75" x14ac:dyDescent="0.45">
      <c r="A9">
        <v>4</v>
      </c>
      <c r="B9" s="10" t="s">
        <v>243</v>
      </c>
      <c r="C9" s="4">
        <v>46.963130509999999</v>
      </c>
      <c r="D9" s="4">
        <v>50.973905330000001</v>
      </c>
      <c r="E9" s="4">
        <v>56.133535530000003</v>
      </c>
      <c r="F9" s="4">
        <v>60</v>
      </c>
      <c r="G9" s="4">
        <v>63.865696560000004</v>
      </c>
      <c r="H9" s="4">
        <v>69.024000610000002</v>
      </c>
      <c r="I9" s="4">
        <v>73.083087210000002</v>
      </c>
      <c r="J9" s="3">
        <v>0</v>
      </c>
      <c r="N9">
        <v>225</v>
      </c>
      <c r="O9">
        <v>321.89999999999998</v>
      </c>
      <c r="P9">
        <v>709.5</v>
      </c>
      <c r="Q9">
        <v>871</v>
      </c>
      <c r="R9">
        <v>2737.5</v>
      </c>
      <c r="S9">
        <v>3667.4999999999995</v>
      </c>
      <c r="T9">
        <v>3900</v>
      </c>
    </row>
    <row r="10" spans="1:20" x14ac:dyDescent="0.45">
      <c r="A10">
        <v>5</v>
      </c>
      <c r="B10" s="10" t="s">
        <v>148</v>
      </c>
      <c r="C10" s="4">
        <v>46.968372510000002</v>
      </c>
      <c r="D10" s="4">
        <v>50.97212949</v>
      </c>
      <c r="E10" s="4">
        <v>56</v>
      </c>
      <c r="F10" s="4">
        <v>60</v>
      </c>
      <c r="G10" s="4">
        <v>63.865856020000003</v>
      </c>
      <c r="H10" s="4">
        <v>69.024805909999998</v>
      </c>
      <c r="I10" s="4">
        <v>73.103618420000004</v>
      </c>
      <c r="J10" s="3">
        <v>0</v>
      </c>
    </row>
    <row r="11" spans="1:20" x14ac:dyDescent="0.45">
      <c r="A11">
        <v>6</v>
      </c>
      <c r="B11" s="10" t="s">
        <v>121</v>
      </c>
      <c r="C11" s="4">
        <v>54.7812336</v>
      </c>
      <c r="D11" s="4">
        <v>59.46975218</v>
      </c>
      <c r="E11" s="4">
        <v>65.489349829999995</v>
      </c>
      <c r="F11" s="4">
        <v>70</v>
      </c>
      <c r="G11" s="4">
        <v>74.510338689999998</v>
      </c>
      <c r="H11" s="4">
        <v>80.528746999999996</v>
      </c>
      <c r="I11" s="4">
        <v>85.377301029999998</v>
      </c>
      <c r="J11" s="3">
        <v>0</v>
      </c>
    </row>
    <row r="12" spans="1:20" x14ac:dyDescent="0.45">
      <c r="A12">
        <v>7</v>
      </c>
      <c r="B12" s="10" t="s">
        <v>111</v>
      </c>
      <c r="C12" s="4">
        <v>105.70233</v>
      </c>
      <c r="D12" s="4">
        <v>114.68966039999999</v>
      </c>
      <c r="E12" s="4">
        <v>126.30101689999999</v>
      </c>
      <c r="F12" s="4">
        <v>135</v>
      </c>
      <c r="G12" s="4">
        <v>143.69716389999999</v>
      </c>
      <c r="H12" s="4">
        <v>155.30794130000001</v>
      </c>
      <c r="I12" s="4">
        <v>164.66245839999999</v>
      </c>
      <c r="J12" s="3">
        <v>0</v>
      </c>
    </row>
    <row r="13" spans="1:20" x14ac:dyDescent="0.45">
      <c r="A13">
        <v>8</v>
      </c>
      <c r="B13" s="10" t="s">
        <v>147</v>
      </c>
      <c r="C13" s="4">
        <v>100</v>
      </c>
      <c r="D13" s="4">
        <v>151.22387260821927</v>
      </c>
      <c r="E13" s="4">
        <v>214.55787713055506</v>
      </c>
      <c r="F13" s="4">
        <v>250</v>
      </c>
      <c r="G13" s="4">
        <v>317.71112265786485</v>
      </c>
      <c r="H13" s="4">
        <v>390.83395072598034</v>
      </c>
      <c r="I13" s="4">
        <v>450</v>
      </c>
      <c r="J13" s="3">
        <v>0</v>
      </c>
    </row>
    <row r="14" spans="1:20" x14ac:dyDescent="0.45">
      <c r="A14">
        <v>9</v>
      </c>
      <c r="B14" s="10" t="s">
        <v>116</v>
      </c>
      <c r="C14" s="4">
        <v>225</v>
      </c>
      <c r="D14" s="4">
        <v>321.89999999999998</v>
      </c>
      <c r="E14" s="4">
        <v>709.5</v>
      </c>
      <c r="F14" s="4">
        <v>871</v>
      </c>
      <c r="G14" s="4">
        <v>2737.5</v>
      </c>
      <c r="H14" s="4">
        <v>3667.4999999999995</v>
      </c>
      <c r="I14" s="4">
        <v>3900</v>
      </c>
      <c r="J14" s="3">
        <v>0</v>
      </c>
      <c r="M14" s="4">
        <v>528.15501280000001</v>
      </c>
      <c r="N14" s="4">
        <v>573.45868780000001</v>
      </c>
      <c r="O14" s="4">
        <v>631.50342769999997</v>
      </c>
      <c r="P14" s="4">
        <v>675</v>
      </c>
      <c r="Q14" s="4">
        <v>718.48814019999998</v>
      </c>
      <c r="R14" s="4">
        <v>776.53639980000003</v>
      </c>
      <c r="S14" s="4">
        <v>822.77792580000005</v>
      </c>
    </row>
    <row r="15" spans="1:20" ht="15.75" x14ac:dyDescent="0.45">
      <c r="A15">
        <v>10</v>
      </c>
      <c r="B15" s="10" t="s">
        <v>145</v>
      </c>
      <c r="C15" s="4">
        <v>55.28177419</v>
      </c>
      <c r="D15" s="4">
        <v>61.798538069999999</v>
      </c>
      <c r="E15" s="4">
        <v>70.20157365</v>
      </c>
      <c r="F15" s="4">
        <v>76.5</v>
      </c>
      <c r="G15" s="4">
        <v>82.796283029999998</v>
      </c>
      <c r="H15" s="4">
        <v>91.200567000000007</v>
      </c>
      <c r="I15" s="4">
        <v>97.813598040000002</v>
      </c>
      <c r="J15" s="3">
        <v>0</v>
      </c>
      <c r="M15" s="8">
        <v>617.94136497599993</v>
      </c>
      <c r="N15" s="8">
        <v>670.94666472599999</v>
      </c>
      <c r="O15" s="8">
        <v>738.85901040899989</v>
      </c>
      <c r="P15" s="8">
        <v>789.75</v>
      </c>
      <c r="Q15" s="8">
        <v>840.63112403399987</v>
      </c>
      <c r="R15" s="8">
        <v>908.54758776599999</v>
      </c>
      <c r="S15" s="8">
        <v>962.65017318599996</v>
      </c>
    </row>
    <row r="16" spans="1:20" x14ac:dyDescent="0.45">
      <c r="A16">
        <v>11</v>
      </c>
      <c r="B16" s="10" t="s">
        <v>422</v>
      </c>
      <c r="C16" s="4">
        <v>88.912476960000006</v>
      </c>
      <c r="D16" s="4">
        <v>96.564602190000002</v>
      </c>
      <c r="E16" s="4">
        <v>106.3407705</v>
      </c>
      <c r="F16" s="4">
        <v>113.66666666666667</v>
      </c>
      <c r="G16" s="4">
        <v>120.9907755</v>
      </c>
      <c r="H16" s="4">
        <v>130.76551069999999</v>
      </c>
      <c r="I16" s="4">
        <v>138.5454258</v>
      </c>
      <c r="J16" s="3">
        <v>0</v>
      </c>
      <c r="M16" s="13">
        <v>1098.562426624</v>
      </c>
      <c r="N16" s="13">
        <v>1192.7940706240001</v>
      </c>
      <c r="O16" s="13">
        <v>1313.5271296159999</v>
      </c>
      <c r="P16" s="13">
        <v>1404</v>
      </c>
      <c r="Q16" s="13">
        <v>1494.455331616</v>
      </c>
      <c r="R16" s="13">
        <v>1615.195711584</v>
      </c>
      <c r="S16" s="13">
        <v>1711.3780856640001</v>
      </c>
    </row>
    <row r="17" spans="1:15" x14ac:dyDescent="0.45">
      <c r="A17">
        <v>12</v>
      </c>
      <c r="B17" s="10" t="s">
        <v>215</v>
      </c>
      <c r="C17" s="4">
        <v>23.467765579999998</v>
      </c>
      <c r="D17" s="4">
        <v>25.486278559999999</v>
      </c>
      <c r="E17" s="4">
        <v>28.0666601</v>
      </c>
      <c r="F17" s="4">
        <v>30</v>
      </c>
      <c r="G17" s="4">
        <v>31.932888089999999</v>
      </c>
      <c r="H17" s="4">
        <v>34.512028630000003</v>
      </c>
      <c r="I17" s="4">
        <v>36.538288870000002</v>
      </c>
      <c r="J17" s="3">
        <v>0</v>
      </c>
    </row>
    <row r="18" spans="1:15" x14ac:dyDescent="0.45">
      <c r="A18">
        <v>13</v>
      </c>
      <c r="B18" s="10" t="s">
        <v>392</v>
      </c>
      <c r="C18" s="4">
        <f>C17*0.75</f>
        <v>17.600824185</v>
      </c>
      <c r="D18" s="4">
        <f t="shared" ref="D18:I18" si="0">D17*0.75</f>
        <v>19.114708919999998</v>
      </c>
      <c r="E18" s="4">
        <f t="shared" si="0"/>
        <v>21.049995074999998</v>
      </c>
      <c r="F18" s="4">
        <f t="shared" si="0"/>
        <v>22.5</v>
      </c>
      <c r="G18" s="4">
        <f t="shared" si="0"/>
        <v>23.949666067499997</v>
      </c>
      <c r="H18" s="4">
        <f t="shared" si="0"/>
        <v>25.884021472500002</v>
      </c>
      <c r="I18" s="4">
        <f t="shared" si="0"/>
        <v>27.403716652500002</v>
      </c>
      <c r="J18" s="3">
        <v>0</v>
      </c>
    </row>
    <row r="19" spans="1:15" x14ac:dyDescent="0.45">
      <c r="A19">
        <v>14</v>
      </c>
      <c r="B19" s="10" t="s">
        <v>112</v>
      </c>
      <c r="C19" s="76">
        <v>0</v>
      </c>
      <c r="D19" s="76">
        <v>0</v>
      </c>
      <c r="E19" s="76">
        <v>0</v>
      </c>
      <c r="F19" s="76">
        <v>0</v>
      </c>
      <c r="G19" s="76">
        <v>0</v>
      </c>
      <c r="H19" s="76">
        <v>0</v>
      </c>
      <c r="I19" s="76">
        <v>0</v>
      </c>
      <c r="J19" s="77">
        <v>0</v>
      </c>
      <c r="M19" s="376">
        <v>528</v>
      </c>
      <c r="N19" s="377">
        <f>AVERAGE(M14:S16)</f>
        <v>956.43610832976174</v>
      </c>
      <c r="O19" s="377">
        <f>S16</f>
        <v>1711.3780856640001</v>
      </c>
    </row>
    <row r="20" spans="1:15" x14ac:dyDescent="0.45">
      <c r="A20">
        <v>15</v>
      </c>
      <c r="B20" s="10" t="s">
        <v>244</v>
      </c>
      <c r="C20" s="4">
        <v>192</v>
      </c>
      <c r="D20" s="4">
        <v>200</v>
      </c>
      <c r="E20" s="4">
        <v>210</v>
      </c>
      <c r="F20" s="4">
        <v>224</v>
      </c>
      <c r="G20" s="4">
        <v>240</v>
      </c>
      <c r="H20" s="4">
        <v>250</v>
      </c>
      <c r="I20" s="4">
        <v>261</v>
      </c>
      <c r="J20" s="3">
        <v>0</v>
      </c>
    </row>
    <row r="21" spans="1:15" x14ac:dyDescent="0.45">
      <c r="A21">
        <v>16</v>
      </c>
      <c r="B21" s="10" t="s">
        <v>169</v>
      </c>
      <c r="C21" s="4">
        <v>100</v>
      </c>
      <c r="D21" s="4">
        <v>151.22387260821927</v>
      </c>
      <c r="E21" s="4">
        <v>214.55787713055506</v>
      </c>
      <c r="F21" s="4">
        <v>250</v>
      </c>
      <c r="G21" s="4">
        <v>317.71112265786485</v>
      </c>
      <c r="H21" s="4">
        <v>390.83395072598034</v>
      </c>
      <c r="I21" s="4">
        <v>450</v>
      </c>
      <c r="J21" s="3">
        <v>0</v>
      </c>
    </row>
    <row r="22" spans="1:15" x14ac:dyDescent="0.45">
      <c r="A22">
        <v>17</v>
      </c>
      <c r="B22" s="10" t="s">
        <v>366</v>
      </c>
      <c r="C22" s="109">
        <v>1.5</v>
      </c>
      <c r="D22" s="109">
        <v>1.7845689676101</v>
      </c>
      <c r="E22" s="109">
        <v>2.1363325133837829</v>
      </c>
      <c r="F22" s="109">
        <v>2.4</v>
      </c>
      <c r="G22" s="109">
        <v>2.6635533436732324</v>
      </c>
      <c r="H22" s="109">
        <v>3.0153245181026467</v>
      </c>
      <c r="I22" s="109">
        <v>3.3</v>
      </c>
      <c r="J22" s="77">
        <v>0</v>
      </c>
    </row>
    <row r="23" spans="1:15" x14ac:dyDescent="0.45">
      <c r="A23">
        <v>18</v>
      </c>
      <c r="B23" s="10" t="s">
        <v>165</v>
      </c>
      <c r="C23" s="109">
        <v>2</v>
      </c>
      <c r="D23" s="109">
        <v>2.2000000000000002</v>
      </c>
      <c r="E23" s="109">
        <v>2.2000000000000002</v>
      </c>
      <c r="F23" s="109">
        <v>4</v>
      </c>
      <c r="G23" s="109">
        <v>2.2000000000000002</v>
      </c>
      <c r="H23" s="109">
        <v>2.2000000000000002</v>
      </c>
      <c r="I23" s="109">
        <v>6</v>
      </c>
      <c r="J23" s="77">
        <v>0</v>
      </c>
      <c r="N23" s="108"/>
    </row>
    <row r="24" spans="1:15" x14ac:dyDescent="0.45">
      <c r="A24">
        <v>19</v>
      </c>
      <c r="B24" s="10" t="s">
        <v>171</v>
      </c>
      <c r="C24" s="109"/>
      <c r="D24" s="109"/>
      <c r="E24" s="109"/>
      <c r="F24" s="109"/>
      <c r="G24" s="109"/>
      <c r="H24" s="109"/>
      <c r="I24" s="109"/>
      <c r="J24" s="77"/>
      <c r="N24" s="108"/>
    </row>
    <row r="25" spans="1:15" x14ac:dyDescent="0.45">
      <c r="A25">
        <v>20</v>
      </c>
      <c r="B25" s="10" t="s">
        <v>170</v>
      </c>
      <c r="C25" s="109">
        <v>1.5</v>
      </c>
      <c r="D25" s="109">
        <v>1.6500000000000001</v>
      </c>
      <c r="E25" s="109">
        <v>2.25</v>
      </c>
      <c r="F25" s="109">
        <v>3</v>
      </c>
      <c r="G25" s="109">
        <v>4</v>
      </c>
      <c r="H25" s="109">
        <v>4.8</v>
      </c>
      <c r="I25" s="109">
        <v>5</v>
      </c>
      <c r="J25" s="77">
        <v>0</v>
      </c>
      <c r="N25" s="108"/>
    </row>
    <row r="26" spans="1:15" x14ac:dyDescent="0.45">
      <c r="A26">
        <v>21</v>
      </c>
      <c r="B26" s="10" t="str">
        <f>Data_Entry!B40</f>
        <v>User specified cost item 1 ($/tree in Year 1 only)</v>
      </c>
      <c r="C26" s="109"/>
      <c r="D26" s="109"/>
      <c r="E26" s="109"/>
      <c r="F26" s="109"/>
      <c r="G26" s="109"/>
      <c r="H26" s="109"/>
      <c r="I26" s="109"/>
      <c r="J26" s="77"/>
      <c r="N26" s="108"/>
    </row>
    <row r="27" spans="1:15" x14ac:dyDescent="0.45">
      <c r="A27">
        <v>22</v>
      </c>
      <c r="B27" s="10" t="str">
        <f>Data_Entry!B41</f>
        <v>User specified cost item 2 ($/tree per annum up to year 2)</v>
      </c>
      <c r="C27" s="109"/>
      <c r="D27" s="109"/>
      <c r="E27" s="109"/>
      <c r="F27" s="109"/>
      <c r="G27" s="109"/>
      <c r="H27" s="109"/>
      <c r="I27" s="109"/>
      <c r="J27" s="77"/>
      <c r="N27" s="108"/>
    </row>
    <row r="28" spans="1:15" x14ac:dyDescent="0.45">
      <c r="A28">
        <v>23</v>
      </c>
      <c r="B28" s="10" t="str">
        <f>Data_Entry!B42</f>
        <v>User specified cost item 3 ($/tree per annum)</v>
      </c>
      <c r="C28" s="109"/>
      <c r="D28" s="109"/>
      <c r="E28" s="109"/>
      <c r="F28" s="109"/>
      <c r="G28" s="109"/>
      <c r="H28" s="109"/>
      <c r="I28" s="109"/>
      <c r="J28" s="77"/>
      <c r="N28" s="108"/>
    </row>
    <row r="29" spans="1:15" x14ac:dyDescent="0.45">
      <c r="A29">
        <v>24</v>
      </c>
      <c r="B29" s="10" t="str">
        <f>Data_Entry!B43</f>
        <v>User specified cost item 4 ($/tree per annum)</v>
      </c>
      <c r="C29" s="109"/>
      <c r="D29" s="109"/>
      <c r="E29" s="109"/>
      <c r="F29" s="109"/>
      <c r="G29" s="109"/>
      <c r="H29" s="109"/>
      <c r="I29" s="109"/>
      <c r="J29" s="77"/>
      <c r="N29" s="108"/>
    </row>
    <row r="30" spans="1:15" x14ac:dyDescent="0.45">
      <c r="A30">
        <v>25</v>
      </c>
      <c r="B30" s="10" t="str">
        <f>Data_Entry!B44</f>
        <v>User specified cost item 5 ($/tree per annum)</v>
      </c>
      <c r="C30" s="109"/>
      <c r="D30" s="109"/>
      <c r="E30" s="109"/>
      <c r="F30" s="109"/>
      <c r="G30" s="109"/>
      <c r="H30" s="109"/>
      <c r="I30" s="109"/>
      <c r="J30" s="77"/>
      <c r="N30" s="108"/>
    </row>
    <row r="31" spans="1:15" x14ac:dyDescent="0.45">
      <c r="A31">
        <v>26</v>
      </c>
      <c r="B31" s="10" t="str">
        <f>Data_Entry!B45</f>
        <v>User specified cost item 6 ($/tree per annum)</v>
      </c>
      <c r="C31" s="109"/>
      <c r="D31" s="109"/>
      <c r="E31" s="109"/>
      <c r="F31" s="109"/>
      <c r="G31" s="109"/>
      <c r="H31" s="109"/>
      <c r="I31" s="109"/>
      <c r="J31" s="77"/>
      <c r="N31" s="108"/>
    </row>
    <row r="34" spans="1:10" x14ac:dyDescent="0.45">
      <c r="C34" s="380" t="str">
        <f>Data_Lists!B3</f>
        <v>Volume 75-100L</v>
      </c>
      <c r="D34" s="380"/>
      <c r="E34" s="380"/>
      <c r="F34" s="380"/>
      <c r="G34" s="380"/>
      <c r="H34" s="380"/>
      <c r="I34" s="380"/>
      <c r="J34" s="380"/>
    </row>
    <row r="35" spans="1:10" ht="14.65" thickBot="1" x14ac:dyDescent="0.5">
      <c r="B35">
        <v>1</v>
      </c>
      <c r="C35" s="5">
        <v>2</v>
      </c>
      <c r="D35" s="5">
        <v>3</v>
      </c>
      <c r="E35" s="5">
        <v>4</v>
      </c>
      <c r="F35" s="5">
        <v>5</v>
      </c>
      <c r="G35" s="5">
        <v>6</v>
      </c>
      <c r="H35" s="5">
        <v>7</v>
      </c>
      <c r="I35" s="5">
        <v>8</v>
      </c>
      <c r="J35" s="5">
        <v>9</v>
      </c>
    </row>
    <row r="36" spans="1:10" ht="14.65" thickBot="1" x14ac:dyDescent="0.5">
      <c r="B36" s="1" t="str">
        <f>B5</f>
        <v>Item/Activity</v>
      </c>
      <c r="C36" s="6" t="str">
        <f>C5</f>
        <v>p0</v>
      </c>
      <c r="D36" s="6" t="str">
        <f t="shared" ref="D36:J36" si="1">D5</f>
        <v>p5</v>
      </c>
      <c r="E36" s="6" t="str">
        <f t="shared" si="1"/>
        <v>p25</v>
      </c>
      <c r="F36" s="6" t="str">
        <f t="shared" si="1"/>
        <v>p50</v>
      </c>
      <c r="G36" s="6" t="str">
        <f t="shared" si="1"/>
        <v>p75</v>
      </c>
      <c r="H36" s="6" t="str">
        <f t="shared" si="1"/>
        <v>p95</v>
      </c>
      <c r="I36" s="6" t="str">
        <f t="shared" si="1"/>
        <v>p100</v>
      </c>
      <c r="J36" s="6" t="str">
        <f t="shared" si="1"/>
        <v>N/A</v>
      </c>
    </row>
    <row r="37" spans="1:10" x14ac:dyDescent="0.45">
      <c r="A37">
        <v>1</v>
      </c>
      <c r="B37" s="9" t="str">
        <f t="shared" ref="B37:B49" si="2">B6</f>
        <v>Concrete cutting ($)</v>
      </c>
      <c r="C37" s="7">
        <v>663.80503983300002</v>
      </c>
      <c r="D37" s="7">
        <v>720.6319575</v>
      </c>
      <c r="E37" s="7">
        <v>793.5840432</v>
      </c>
      <c r="F37" s="7">
        <v>848.25</v>
      </c>
      <c r="G37" s="7">
        <v>902.90098746899992</v>
      </c>
      <c r="H37" s="7">
        <v>975.84787871999993</v>
      </c>
      <c r="I37" s="7">
        <v>1033.8439598370001</v>
      </c>
      <c r="J37" s="7">
        <v>0</v>
      </c>
    </row>
    <row r="38" spans="1:10" x14ac:dyDescent="0.45">
      <c r="A38">
        <v>2</v>
      </c>
      <c r="B38" s="9" t="str">
        <f t="shared" si="2"/>
        <v>Supply ($)</v>
      </c>
      <c r="C38" s="8">
        <v>67.558444890299995</v>
      </c>
      <c r="D38" s="8">
        <v>73.306809002699993</v>
      </c>
      <c r="E38" s="8">
        <v>80.726481388799996</v>
      </c>
      <c r="F38" s="8">
        <v>86.287499999999994</v>
      </c>
      <c r="G38" s="8">
        <v>91.8464093937</v>
      </c>
      <c r="H38" s="8">
        <v>99.266904207899984</v>
      </c>
      <c r="I38" s="8">
        <v>105.11544417659999</v>
      </c>
      <c r="J38" s="7">
        <v>0</v>
      </c>
    </row>
    <row r="39" spans="1:10" x14ac:dyDescent="0.45">
      <c r="A39">
        <v>3</v>
      </c>
      <c r="B39" s="9" t="str">
        <f t="shared" si="2"/>
        <v>Tree installation ($)</v>
      </c>
      <c r="C39" s="8">
        <v>141.47055163799999</v>
      </c>
      <c r="D39" s="8">
        <v>153.601874829</v>
      </c>
      <c r="E39" s="8">
        <v>169.29750415499998</v>
      </c>
      <c r="F39" s="8">
        <v>181.05749999999998</v>
      </c>
      <c r="G39" s="8">
        <v>192.81401684999997</v>
      </c>
      <c r="H39" s="8">
        <v>208.50373650599997</v>
      </c>
      <c r="I39" s="8">
        <v>221.05202593499999</v>
      </c>
      <c r="J39" s="7">
        <v>0</v>
      </c>
    </row>
    <row r="40" spans="1:10" x14ac:dyDescent="0.45">
      <c r="A40">
        <v>4</v>
      </c>
      <c r="B40" s="9" t="str">
        <f t="shared" si="2"/>
        <v>Mulch cost ($/m3)</v>
      </c>
      <c r="C40" s="8">
        <v>54.946862696699995</v>
      </c>
      <c r="D40" s="8">
        <v>59.639469236099998</v>
      </c>
      <c r="E40" s="8">
        <v>65.676236570100002</v>
      </c>
      <c r="F40" s="8">
        <v>70.199999999999989</v>
      </c>
      <c r="G40" s="8">
        <v>74.722864975199997</v>
      </c>
      <c r="H40" s="8">
        <v>80.758080713699997</v>
      </c>
      <c r="I40" s="8">
        <v>85.507212035699993</v>
      </c>
      <c r="J40" s="7">
        <v>0</v>
      </c>
    </row>
    <row r="41" spans="1:10" x14ac:dyDescent="0.45">
      <c r="A41">
        <v>5</v>
      </c>
      <c r="B41" s="9" t="str">
        <f t="shared" si="2"/>
        <v>Stakes and ties ($)</v>
      </c>
      <c r="C41" s="8">
        <v>54.952995836699998</v>
      </c>
      <c r="D41" s="8">
        <v>59.637391503299995</v>
      </c>
      <c r="E41" s="8">
        <v>65.675929491899993</v>
      </c>
      <c r="F41" s="8">
        <v>70.199999999999989</v>
      </c>
      <c r="G41" s="8">
        <v>74.723051543400004</v>
      </c>
      <c r="H41" s="8">
        <v>80.759022914699997</v>
      </c>
      <c r="I41" s="8">
        <v>85.531233551399993</v>
      </c>
      <c r="J41" s="7">
        <v>0</v>
      </c>
    </row>
    <row r="42" spans="1:10" x14ac:dyDescent="0.45">
      <c r="A42">
        <v>6</v>
      </c>
      <c r="B42" s="9" t="str">
        <f t="shared" si="2"/>
        <v>Installation cost ($/hr) per tree</v>
      </c>
      <c r="C42" s="8">
        <v>64.094043311999997</v>
      </c>
      <c r="D42" s="8">
        <v>69.579610050599996</v>
      </c>
      <c r="E42" s="8">
        <v>76.622539301099991</v>
      </c>
      <c r="F42" s="8">
        <v>81.899999999999991</v>
      </c>
      <c r="G42" s="8">
        <v>87.177096267299987</v>
      </c>
      <c r="H42" s="8">
        <v>94.218633989999987</v>
      </c>
      <c r="I42" s="8">
        <v>99.891442205099992</v>
      </c>
      <c r="J42" s="7">
        <v>0</v>
      </c>
    </row>
    <row r="43" spans="1:10" x14ac:dyDescent="0.45">
      <c r="A43">
        <v>7</v>
      </c>
      <c r="B43" s="9" t="str">
        <f t="shared" si="2"/>
        <v>Machine rate ($/hr)</v>
      </c>
      <c r="C43" s="8">
        <v>123.6717261</v>
      </c>
      <c r="D43" s="8">
        <v>134.18690266799999</v>
      </c>
      <c r="E43" s="8">
        <v>147.77218977299998</v>
      </c>
      <c r="F43" s="8">
        <v>157.94999999999999</v>
      </c>
      <c r="G43" s="8">
        <v>168.12568176299999</v>
      </c>
      <c r="H43" s="8">
        <v>181.710291321</v>
      </c>
      <c r="I43" s="8">
        <v>192.65507632799998</v>
      </c>
      <c r="J43" s="7">
        <v>0</v>
      </c>
    </row>
    <row r="44" spans="1:10" x14ac:dyDescent="0.45">
      <c r="A44">
        <v>8</v>
      </c>
      <c r="B44" s="9" t="str">
        <f t="shared" si="2"/>
        <v>Tree protection fencing ($)</v>
      </c>
      <c r="C44" s="8">
        <v>100</v>
      </c>
      <c r="D44" s="8">
        <v>151.22387260821927</v>
      </c>
      <c r="E44" s="8">
        <v>214.55787713055506</v>
      </c>
      <c r="F44" s="8">
        <v>250</v>
      </c>
      <c r="G44" s="8">
        <v>317.71112265786485</v>
      </c>
      <c r="H44" s="8">
        <v>390.83395072598034</v>
      </c>
      <c r="I44" s="8">
        <v>450</v>
      </c>
      <c r="J44" s="7">
        <v>0</v>
      </c>
    </row>
    <row r="45" spans="1:10" x14ac:dyDescent="0.45">
      <c r="A45">
        <v>9</v>
      </c>
      <c r="B45" s="9" t="str">
        <f t="shared" si="2"/>
        <v>Tree removal ($/tree)</v>
      </c>
      <c r="C45" s="8">
        <v>225</v>
      </c>
      <c r="D45" s="8">
        <v>321.89999999999998</v>
      </c>
      <c r="E45" s="8">
        <v>709.5</v>
      </c>
      <c r="F45" s="8">
        <v>871</v>
      </c>
      <c r="G45" s="8">
        <v>2737.5</v>
      </c>
      <c r="H45" s="8">
        <v>3667.4999999999995</v>
      </c>
      <c r="I45" s="8">
        <v>3900</v>
      </c>
      <c r="J45" s="7">
        <v>0</v>
      </c>
    </row>
    <row r="46" spans="1:10" x14ac:dyDescent="0.45">
      <c r="A46">
        <v>10</v>
      </c>
      <c r="B46" s="10" t="str">
        <f t="shared" si="2"/>
        <v>Soil cost ($/m3)</v>
      </c>
      <c r="C46" s="8">
        <v>64.679675802299997</v>
      </c>
      <c r="D46" s="8">
        <v>72.30428954189999</v>
      </c>
      <c r="E46" s="8">
        <v>82.135841170500001</v>
      </c>
      <c r="F46" s="8">
        <v>89.504999999999995</v>
      </c>
      <c r="G46" s="8">
        <v>96.871651145099989</v>
      </c>
      <c r="H46" s="8">
        <v>106.70466339000001</v>
      </c>
      <c r="I46" s="8">
        <v>114.44190970679999</v>
      </c>
      <c r="J46" s="7">
        <v>0</v>
      </c>
    </row>
    <row r="47" spans="1:10" x14ac:dyDescent="0.45">
      <c r="A47">
        <v>11</v>
      </c>
      <c r="B47" s="9" t="str">
        <f t="shared" si="2"/>
        <v>Maintenance in year 1 ($/tree)</v>
      </c>
      <c r="C47" s="8">
        <v>104.0275980432</v>
      </c>
      <c r="D47" s="8">
        <v>112.9805845623</v>
      </c>
      <c r="E47" s="8">
        <v>124.418701485</v>
      </c>
      <c r="F47" s="8">
        <v>132.99</v>
      </c>
      <c r="G47" s="8">
        <v>141.559207335</v>
      </c>
      <c r="H47" s="8">
        <v>152.99564751899999</v>
      </c>
      <c r="I47" s="8">
        <v>162.098148186</v>
      </c>
      <c r="J47" s="7">
        <v>0</v>
      </c>
    </row>
    <row r="48" spans="1:10" x14ac:dyDescent="0.45">
      <c r="A48">
        <v>12</v>
      </c>
      <c r="B48" s="9" t="str">
        <f t="shared" si="2"/>
        <v>Maintenance in year 2 ($/tree)</v>
      </c>
      <c r="C48" s="8">
        <v>27.457285728599995</v>
      </c>
      <c r="D48" s="8">
        <v>29.818945915199997</v>
      </c>
      <c r="E48" s="8">
        <v>32.837992317000001</v>
      </c>
      <c r="F48" s="8">
        <v>35.099999999999994</v>
      </c>
      <c r="G48" s="8">
        <v>37.361479065299996</v>
      </c>
      <c r="H48" s="8">
        <v>40.379073497100002</v>
      </c>
      <c r="I48" s="8">
        <v>42.749797977900002</v>
      </c>
      <c r="J48" s="7">
        <v>0</v>
      </c>
    </row>
    <row r="49" spans="1:10" x14ac:dyDescent="0.45">
      <c r="A49">
        <v>13</v>
      </c>
      <c r="B49" s="9" t="str">
        <f t="shared" si="2"/>
        <v>Maintenance in year 3 and onwards (annual $/tree)</v>
      </c>
      <c r="C49" s="8">
        <f t="shared" ref="C49:I49" si="3">C48*0.75</f>
        <v>20.592964296449995</v>
      </c>
      <c r="D49" s="8">
        <f t="shared" si="3"/>
        <v>22.364209436399996</v>
      </c>
      <c r="E49" s="8">
        <f t="shared" si="3"/>
        <v>24.628494237750001</v>
      </c>
      <c r="F49" s="8">
        <f t="shared" si="3"/>
        <v>26.324999999999996</v>
      </c>
      <c r="G49" s="8">
        <f t="shared" si="3"/>
        <v>28.021109298974999</v>
      </c>
      <c r="H49" s="8">
        <f t="shared" si="3"/>
        <v>30.284305122825003</v>
      </c>
      <c r="I49" s="8">
        <f t="shared" si="3"/>
        <v>32.062348483424998</v>
      </c>
      <c r="J49" s="7">
        <v>0</v>
      </c>
    </row>
    <row r="50" spans="1:10" x14ac:dyDescent="0.45">
      <c r="A50">
        <v>14</v>
      </c>
      <c r="B50" s="9" t="str">
        <f t="shared" ref="B50:B62" si="4">B19</f>
        <v>Traffic control cost ($)</v>
      </c>
      <c r="C50" s="78">
        <v>0</v>
      </c>
      <c r="D50" s="78">
        <v>0</v>
      </c>
      <c r="E50" s="78">
        <v>0</v>
      </c>
      <c r="F50" s="78">
        <v>0</v>
      </c>
      <c r="G50" s="78">
        <v>0</v>
      </c>
      <c r="H50" s="78">
        <v>0</v>
      </c>
      <c r="I50" s="78">
        <v>0</v>
      </c>
      <c r="J50" s="79">
        <v>0</v>
      </c>
    </row>
    <row r="51" spans="1:10" x14ac:dyDescent="0.45">
      <c r="A51">
        <v>15</v>
      </c>
      <c r="B51" s="9" t="str">
        <f t="shared" si="4"/>
        <v>Guard rails ($)</v>
      </c>
      <c r="C51" s="8">
        <v>192</v>
      </c>
      <c r="D51" s="8">
        <v>200</v>
      </c>
      <c r="E51" s="8">
        <v>210</v>
      </c>
      <c r="F51" s="8">
        <v>224</v>
      </c>
      <c r="G51" s="8">
        <v>240</v>
      </c>
      <c r="H51" s="8">
        <v>250</v>
      </c>
      <c r="I51" s="8">
        <v>261</v>
      </c>
      <c r="J51" s="7">
        <v>0</v>
      </c>
    </row>
    <row r="52" spans="1:10" x14ac:dyDescent="0.45">
      <c r="A52">
        <v>16</v>
      </c>
      <c r="B52" s="9" t="str">
        <f t="shared" si="4"/>
        <v>Arborist tree health inspection ($/tree)</v>
      </c>
      <c r="C52" s="8">
        <v>100</v>
      </c>
      <c r="D52" s="8">
        <v>151.22387260821927</v>
      </c>
      <c r="E52" s="8">
        <v>214.55787713055506</v>
      </c>
      <c r="F52" s="8">
        <v>250</v>
      </c>
      <c r="G52" s="8">
        <v>317.71112265786485</v>
      </c>
      <c r="H52" s="8">
        <v>390.83395072598034</v>
      </c>
      <c r="I52" s="8">
        <v>450</v>
      </c>
      <c r="J52" s="7">
        <v>0</v>
      </c>
    </row>
    <row r="53" spans="1:10" x14ac:dyDescent="0.45">
      <c r="A53">
        <v>17</v>
      </c>
      <c r="B53" s="9" t="str">
        <f t="shared" si="4"/>
        <v>GIS mapping and inventory assessment ($)</v>
      </c>
      <c r="C53" s="8">
        <v>1.5</v>
      </c>
      <c r="D53" s="8">
        <v>1.7845689676101</v>
      </c>
      <c r="E53" s="8">
        <v>2.1363325133837829</v>
      </c>
      <c r="F53" s="8">
        <v>2.4</v>
      </c>
      <c r="G53" s="8">
        <v>2.6635533436732324</v>
      </c>
      <c r="H53" s="8">
        <v>3.0153245181026467</v>
      </c>
      <c r="I53" s="8">
        <v>3.3</v>
      </c>
      <c r="J53" s="7">
        <v>0</v>
      </c>
    </row>
    <row r="54" spans="1:10" x14ac:dyDescent="0.45">
      <c r="A54">
        <v>18</v>
      </c>
      <c r="B54" s="9" t="str">
        <f t="shared" si="4"/>
        <v>Watering ($/tree per visit)</v>
      </c>
      <c r="C54" s="8">
        <v>2</v>
      </c>
      <c r="D54" s="8">
        <v>2.2000000000000002</v>
      </c>
      <c r="E54" s="8">
        <v>2.2000000000000002</v>
      </c>
      <c r="F54" s="8">
        <v>4</v>
      </c>
      <c r="G54" s="8">
        <v>2.2000000000000002</v>
      </c>
      <c r="H54" s="8">
        <v>2.2000000000000002</v>
      </c>
      <c r="I54" s="8">
        <v>6</v>
      </c>
      <c r="J54" s="7">
        <v>0</v>
      </c>
    </row>
    <row r="55" spans="1:10" x14ac:dyDescent="0.45">
      <c r="A55">
        <v>19</v>
      </c>
      <c r="B55" s="9" t="str">
        <f t="shared" si="4"/>
        <v>Strata cells/vault installation ($/tree)</v>
      </c>
      <c r="C55" s="8"/>
      <c r="D55" s="8"/>
      <c r="E55" s="8"/>
      <c r="F55" s="8"/>
      <c r="G55" s="8"/>
      <c r="H55" s="8"/>
      <c r="I55" s="8"/>
      <c r="J55" s="7">
        <v>0</v>
      </c>
    </row>
    <row r="56" spans="1:10" x14ac:dyDescent="0.45">
      <c r="A56">
        <v>20</v>
      </c>
      <c r="B56" s="9" t="str">
        <f t="shared" si="4"/>
        <v>Visual tree inspection ($/tree)</v>
      </c>
      <c r="C56" s="8">
        <v>1.5</v>
      </c>
      <c r="D56" s="8">
        <v>1.6500000000000001</v>
      </c>
      <c r="E56" s="8">
        <v>2.25</v>
      </c>
      <c r="F56" s="8">
        <v>3</v>
      </c>
      <c r="G56" s="8">
        <v>4</v>
      </c>
      <c r="H56" s="8">
        <v>4.8</v>
      </c>
      <c r="I56" s="8">
        <v>5</v>
      </c>
      <c r="J56" s="7">
        <v>0</v>
      </c>
    </row>
    <row r="57" spans="1:10" x14ac:dyDescent="0.45">
      <c r="A57">
        <v>21</v>
      </c>
      <c r="B57" s="9" t="str">
        <f t="shared" si="4"/>
        <v>User specified cost item 1 ($/tree in Year 1 only)</v>
      </c>
      <c r="C57" s="8"/>
      <c r="D57" s="8"/>
      <c r="E57" s="8"/>
      <c r="F57" s="8"/>
      <c r="G57" s="8"/>
      <c r="H57" s="8"/>
      <c r="I57" s="8"/>
      <c r="J57" s="7">
        <v>0</v>
      </c>
    </row>
    <row r="58" spans="1:10" x14ac:dyDescent="0.45">
      <c r="A58">
        <v>22</v>
      </c>
      <c r="B58" s="9" t="str">
        <f t="shared" si="4"/>
        <v>User specified cost item 2 ($/tree per annum up to year 2)</v>
      </c>
      <c r="C58" s="8"/>
      <c r="D58" s="8"/>
      <c r="E58" s="8"/>
      <c r="F58" s="8"/>
      <c r="G58" s="8"/>
      <c r="H58" s="8"/>
      <c r="I58" s="8"/>
      <c r="J58" s="7">
        <v>0</v>
      </c>
    </row>
    <row r="59" spans="1:10" x14ac:dyDescent="0.45">
      <c r="A59">
        <v>23</v>
      </c>
      <c r="B59" s="9" t="str">
        <f t="shared" si="4"/>
        <v>User specified cost item 3 ($/tree per annum)</v>
      </c>
      <c r="C59" s="8"/>
      <c r="D59" s="8"/>
      <c r="E59" s="8"/>
      <c r="F59" s="8"/>
      <c r="G59" s="8"/>
      <c r="H59" s="8"/>
      <c r="I59" s="8"/>
      <c r="J59" s="7">
        <v>0</v>
      </c>
    </row>
    <row r="60" spans="1:10" x14ac:dyDescent="0.45">
      <c r="A60">
        <v>24</v>
      </c>
      <c r="B60" s="9" t="str">
        <f t="shared" si="4"/>
        <v>User specified cost item 4 ($/tree per annum)</v>
      </c>
      <c r="C60" s="8"/>
      <c r="D60" s="8"/>
      <c r="E60" s="8"/>
      <c r="F60" s="8"/>
      <c r="G60" s="8"/>
      <c r="H60" s="8"/>
      <c r="I60" s="8"/>
      <c r="J60" s="7">
        <v>0</v>
      </c>
    </row>
    <row r="61" spans="1:10" x14ac:dyDescent="0.45">
      <c r="A61">
        <v>25</v>
      </c>
      <c r="B61" s="9" t="str">
        <f t="shared" si="4"/>
        <v>User specified cost item 5 ($/tree per annum)</v>
      </c>
      <c r="C61" s="8"/>
      <c r="D61" s="8"/>
      <c r="E61" s="8"/>
      <c r="F61" s="8"/>
      <c r="G61" s="8"/>
      <c r="H61" s="8"/>
      <c r="I61" s="8"/>
      <c r="J61" s="7">
        <v>0</v>
      </c>
    </row>
    <row r="62" spans="1:10" x14ac:dyDescent="0.45">
      <c r="A62">
        <v>26</v>
      </c>
      <c r="B62" s="9" t="str">
        <f t="shared" si="4"/>
        <v>User specified cost item 6 ($/tree per annum)</v>
      </c>
      <c r="C62" s="8"/>
      <c r="D62" s="8"/>
      <c r="E62" s="8"/>
      <c r="F62" s="8"/>
      <c r="G62" s="8"/>
      <c r="H62" s="8"/>
      <c r="I62" s="8"/>
      <c r="J62" s="7">
        <v>0</v>
      </c>
    </row>
    <row r="64" spans="1:10" x14ac:dyDescent="0.45">
      <c r="C64" s="380" t="s">
        <v>9</v>
      </c>
      <c r="D64" s="380"/>
      <c r="E64" s="380"/>
      <c r="F64" s="380"/>
      <c r="G64" s="380"/>
      <c r="H64" s="380"/>
      <c r="I64" s="380"/>
      <c r="J64" s="380"/>
    </row>
    <row r="65" spans="1:10" ht="14.65" thickBot="1" x14ac:dyDescent="0.5">
      <c r="B65">
        <v>1</v>
      </c>
      <c r="C65" s="5">
        <v>2</v>
      </c>
      <c r="D65" s="5">
        <v>3</v>
      </c>
      <c r="E65" s="5">
        <v>4</v>
      </c>
      <c r="F65" s="5">
        <v>5</v>
      </c>
      <c r="G65" s="5">
        <v>6</v>
      </c>
      <c r="H65" s="5">
        <v>7</v>
      </c>
      <c r="I65" s="5">
        <v>8</v>
      </c>
      <c r="J65" s="5">
        <v>9</v>
      </c>
    </row>
    <row r="66" spans="1:10" ht="14.65" thickBot="1" x14ac:dyDescent="0.5">
      <c r="B66" s="1" t="str">
        <f>B36</f>
        <v>Item/Activity</v>
      </c>
      <c r="C66" s="11" t="str">
        <f>C36</f>
        <v>p0</v>
      </c>
      <c r="D66" s="11" t="str">
        <f t="shared" ref="D66:J66" si="5">D36</f>
        <v>p5</v>
      </c>
      <c r="E66" s="11" t="str">
        <f t="shared" si="5"/>
        <v>p25</v>
      </c>
      <c r="F66" s="11" t="str">
        <f t="shared" si="5"/>
        <v>p50</v>
      </c>
      <c r="G66" s="11" t="str">
        <f t="shared" si="5"/>
        <v>p75</v>
      </c>
      <c r="H66" s="11" t="str">
        <f t="shared" si="5"/>
        <v>p95</v>
      </c>
      <c r="I66" s="11" t="str">
        <f t="shared" si="5"/>
        <v>p100</v>
      </c>
      <c r="J66" s="11" t="str">
        <f t="shared" si="5"/>
        <v>N/A</v>
      </c>
    </row>
    <row r="67" spans="1:10" x14ac:dyDescent="0.45">
      <c r="A67">
        <v>1</v>
      </c>
      <c r="B67" s="9" t="str">
        <f t="shared" ref="B67:B79" si="6">B37</f>
        <v>Concrete cutting ($)</v>
      </c>
      <c r="C67" s="12">
        <v>1180.0978485920002</v>
      </c>
      <c r="D67" s="12">
        <v>1281.12348</v>
      </c>
      <c r="E67" s="12">
        <v>1410.8160768</v>
      </c>
      <c r="F67" s="12">
        <v>1508</v>
      </c>
      <c r="G67" s="12">
        <v>1605.157311056</v>
      </c>
      <c r="H67" s="12">
        <v>1734.8406732799999</v>
      </c>
      <c r="I67" s="12">
        <v>1837.9448174880001</v>
      </c>
      <c r="J67" s="12">
        <v>0</v>
      </c>
    </row>
    <row r="68" spans="1:10" x14ac:dyDescent="0.45">
      <c r="A68">
        <v>2</v>
      </c>
      <c r="B68" s="9" t="str">
        <f t="shared" si="6"/>
        <v>Supply ($)</v>
      </c>
      <c r="C68" s="13">
        <v>120.10390202720001</v>
      </c>
      <c r="D68" s="13">
        <v>130.3232160048</v>
      </c>
      <c r="E68" s="13">
        <v>143.5137446912</v>
      </c>
      <c r="F68" s="13">
        <v>153.4</v>
      </c>
      <c r="G68" s="13">
        <v>163.28250558880001</v>
      </c>
      <c r="H68" s="13">
        <v>176.47449636959999</v>
      </c>
      <c r="I68" s="13">
        <v>186.87190075839999</v>
      </c>
      <c r="J68" s="12">
        <v>0</v>
      </c>
    </row>
    <row r="69" spans="1:10" x14ac:dyDescent="0.45">
      <c r="A69">
        <v>3</v>
      </c>
      <c r="B69" s="9" t="str">
        <f t="shared" si="6"/>
        <v>Tree installation ($)</v>
      </c>
      <c r="C69" s="13">
        <v>251.50320291200001</v>
      </c>
      <c r="D69" s="13">
        <v>273.06999969600002</v>
      </c>
      <c r="E69" s="13">
        <v>300.97334072000001</v>
      </c>
      <c r="F69" s="13">
        <v>321.88</v>
      </c>
      <c r="G69" s="13">
        <v>342.7804744</v>
      </c>
      <c r="H69" s="13">
        <v>370.67330934400002</v>
      </c>
      <c r="I69" s="13">
        <v>392.98137944000001</v>
      </c>
      <c r="J69" s="12">
        <v>0</v>
      </c>
    </row>
    <row r="70" spans="1:10" x14ac:dyDescent="0.45">
      <c r="A70">
        <v>4</v>
      </c>
      <c r="B70" s="9" t="str">
        <f t="shared" si="6"/>
        <v>Mulch cost ($/m3)</v>
      </c>
      <c r="C70" s="13">
        <v>97.683311460799999</v>
      </c>
      <c r="D70" s="13">
        <v>106.02572308640001</v>
      </c>
      <c r="E70" s="13">
        <v>116.75775390240001</v>
      </c>
      <c r="F70" s="13">
        <v>124.80000000000001</v>
      </c>
      <c r="G70" s="13">
        <v>132.8406488448</v>
      </c>
      <c r="H70" s="13">
        <v>143.56992126880002</v>
      </c>
      <c r="I70" s="13">
        <v>152.01282139680001</v>
      </c>
      <c r="J70" s="12">
        <v>0</v>
      </c>
    </row>
    <row r="71" spans="1:10" x14ac:dyDescent="0.45">
      <c r="A71">
        <v>5</v>
      </c>
      <c r="B71" s="9" t="str">
        <f t="shared" si="6"/>
        <v>Stakes and ties ($)</v>
      </c>
      <c r="C71" s="13">
        <v>97.694214820800013</v>
      </c>
      <c r="D71" s="13">
        <v>106.0220293392</v>
      </c>
      <c r="E71" s="13">
        <v>116.7572079856</v>
      </c>
      <c r="F71" s="13">
        <v>124.80000000000001</v>
      </c>
      <c r="G71" s="13">
        <v>132.84098052160002</v>
      </c>
      <c r="H71" s="13">
        <v>143.5715962928</v>
      </c>
      <c r="I71" s="13">
        <v>152.05552631360001</v>
      </c>
      <c r="J71" s="12">
        <v>0</v>
      </c>
    </row>
    <row r="72" spans="1:10" x14ac:dyDescent="0.45">
      <c r="A72">
        <v>6</v>
      </c>
      <c r="B72" s="9" t="str">
        <f t="shared" si="6"/>
        <v>Installation cost ($/hr) per tree</v>
      </c>
      <c r="C72" s="13">
        <v>113.944965888</v>
      </c>
      <c r="D72" s="13">
        <v>123.69708453440001</v>
      </c>
      <c r="E72" s="13">
        <v>136.2178476464</v>
      </c>
      <c r="F72" s="13">
        <v>145.6</v>
      </c>
      <c r="G72" s="13">
        <v>154.98150447520001</v>
      </c>
      <c r="H72" s="13">
        <v>167.49979375999999</v>
      </c>
      <c r="I72" s="13">
        <v>177.58478614239999</v>
      </c>
      <c r="J72" s="12">
        <v>0</v>
      </c>
    </row>
    <row r="73" spans="1:10" x14ac:dyDescent="0.45">
      <c r="A73">
        <v>7</v>
      </c>
      <c r="B73" s="9" t="str">
        <f t="shared" si="6"/>
        <v>Machine rate ($/hr)</v>
      </c>
      <c r="C73" s="13">
        <v>219.86084640000001</v>
      </c>
      <c r="D73" s="13">
        <v>238.554493632</v>
      </c>
      <c r="E73" s="13">
        <v>262.706115152</v>
      </c>
      <c r="F73" s="13">
        <v>280.8</v>
      </c>
      <c r="G73" s="13">
        <v>298.89010091199998</v>
      </c>
      <c r="H73" s="13">
        <v>323.04051790400001</v>
      </c>
      <c r="I73" s="13">
        <v>342.49791347199999</v>
      </c>
      <c r="J73" s="12">
        <v>0</v>
      </c>
    </row>
    <row r="74" spans="1:10" x14ac:dyDescent="0.45">
      <c r="A74">
        <v>8</v>
      </c>
      <c r="B74" s="9" t="str">
        <f t="shared" si="6"/>
        <v>Tree protection fencing ($)</v>
      </c>
      <c r="C74" s="13">
        <v>100</v>
      </c>
      <c r="D74" s="13">
        <v>151.22387260821927</v>
      </c>
      <c r="E74" s="13">
        <v>214.55787713055506</v>
      </c>
      <c r="F74" s="13">
        <v>250</v>
      </c>
      <c r="G74" s="13">
        <v>317.71112265786485</v>
      </c>
      <c r="H74" s="13">
        <v>390.83395072598034</v>
      </c>
      <c r="I74" s="13">
        <v>450</v>
      </c>
      <c r="J74" s="12">
        <v>0</v>
      </c>
    </row>
    <row r="75" spans="1:10" x14ac:dyDescent="0.45">
      <c r="A75">
        <v>9</v>
      </c>
      <c r="B75" s="9" t="str">
        <f t="shared" si="6"/>
        <v>Tree removal ($/tree)</v>
      </c>
      <c r="C75" s="13">
        <v>225</v>
      </c>
      <c r="D75" s="13">
        <v>321.89999999999998</v>
      </c>
      <c r="E75" s="13">
        <v>709.5</v>
      </c>
      <c r="F75" s="13">
        <v>871</v>
      </c>
      <c r="G75" s="13">
        <v>2737.5</v>
      </c>
      <c r="H75" s="13">
        <v>3667.4999999999995</v>
      </c>
      <c r="I75" s="13">
        <v>3900</v>
      </c>
      <c r="J75" s="12">
        <v>0</v>
      </c>
    </row>
    <row r="76" spans="1:10" x14ac:dyDescent="0.45">
      <c r="A76">
        <v>10</v>
      </c>
      <c r="B76" s="9" t="str">
        <f t="shared" si="6"/>
        <v>Soil cost ($/m3)</v>
      </c>
      <c r="C76" s="13">
        <v>114.9860903152</v>
      </c>
      <c r="D76" s="13">
        <v>128.5409591856</v>
      </c>
      <c r="E76" s="13">
        <v>146.01927319200001</v>
      </c>
      <c r="F76" s="13">
        <v>159.12</v>
      </c>
      <c r="G76" s="13">
        <v>172.21626870240001</v>
      </c>
      <c r="H76" s="13">
        <v>189.69717936000001</v>
      </c>
      <c r="I76" s="13">
        <v>203.45228392320001</v>
      </c>
      <c r="J76" s="12">
        <v>0</v>
      </c>
    </row>
    <row r="77" spans="1:10" x14ac:dyDescent="0.45">
      <c r="A77">
        <v>11</v>
      </c>
      <c r="B77" s="9" t="str">
        <f t="shared" si="6"/>
        <v>Maintenance in year 1 ($/tree)</v>
      </c>
      <c r="C77" s="13">
        <v>184.93795207680003</v>
      </c>
      <c r="D77" s="13">
        <v>200.8543725552</v>
      </c>
      <c r="E77" s="13">
        <v>221.18880264000001</v>
      </c>
      <c r="F77" s="13">
        <v>236.42666666666668</v>
      </c>
      <c r="G77" s="13">
        <v>251.66081303999999</v>
      </c>
      <c r="H77" s="13">
        <v>271.992262256</v>
      </c>
      <c r="I77" s="13">
        <v>288.17448566400003</v>
      </c>
      <c r="J77" s="12">
        <v>0</v>
      </c>
    </row>
    <row r="78" spans="1:10" x14ac:dyDescent="0.45">
      <c r="A78">
        <v>12</v>
      </c>
      <c r="B78" s="9" t="str">
        <f t="shared" si="6"/>
        <v>Maintenance in year 2 ($/tree)</v>
      </c>
      <c r="C78" s="13">
        <v>48.812952406400001</v>
      </c>
      <c r="D78" s="13">
        <v>53.0114594048</v>
      </c>
      <c r="E78" s="13">
        <v>58.378653008000001</v>
      </c>
      <c r="F78" s="13">
        <v>62.400000000000006</v>
      </c>
      <c r="G78" s="13">
        <v>66.420407227200002</v>
      </c>
      <c r="H78" s="13">
        <v>71.785019550400008</v>
      </c>
      <c r="I78" s="13">
        <v>75.999640849600013</v>
      </c>
      <c r="J78" s="12">
        <v>0</v>
      </c>
    </row>
    <row r="79" spans="1:10" x14ac:dyDescent="0.45">
      <c r="A79">
        <v>13</v>
      </c>
      <c r="B79" s="9" t="str">
        <f t="shared" si="6"/>
        <v>Maintenance in year 3 and onwards (annual $/tree)</v>
      </c>
      <c r="C79" s="13">
        <f t="shared" ref="C79:I79" si="7">C78*0.75</f>
        <v>36.609714304800001</v>
      </c>
      <c r="D79" s="13">
        <f t="shared" si="7"/>
        <v>39.758594553599998</v>
      </c>
      <c r="E79" s="13">
        <f t="shared" si="7"/>
        <v>43.783989755999997</v>
      </c>
      <c r="F79" s="13">
        <f t="shared" si="7"/>
        <v>46.800000000000004</v>
      </c>
      <c r="G79" s="13">
        <f t="shared" si="7"/>
        <v>49.815305420400001</v>
      </c>
      <c r="H79" s="13">
        <f t="shared" si="7"/>
        <v>53.838764662800003</v>
      </c>
      <c r="I79" s="13">
        <f t="shared" si="7"/>
        <v>56.99973063720001</v>
      </c>
      <c r="J79" s="12">
        <v>0</v>
      </c>
    </row>
    <row r="80" spans="1:10" x14ac:dyDescent="0.45">
      <c r="A80">
        <v>14</v>
      </c>
      <c r="B80" s="9" t="str">
        <f t="shared" ref="B80:B92" si="8">B50</f>
        <v>Traffic control cost ($)</v>
      </c>
      <c r="C80" s="80">
        <v>0</v>
      </c>
      <c r="D80" s="80">
        <v>0</v>
      </c>
      <c r="E80" s="80">
        <v>0</v>
      </c>
      <c r="F80" s="80">
        <v>0</v>
      </c>
      <c r="G80" s="80">
        <v>0</v>
      </c>
      <c r="H80" s="80">
        <v>0</v>
      </c>
      <c r="I80" s="80">
        <v>0</v>
      </c>
      <c r="J80" s="81">
        <v>0</v>
      </c>
    </row>
    <row r="81" spans="1:10" x14ac:dyDescent="0.45">
      <c r="A81">
        <v>15</v>
      </c>
      <c r="B81" s="9" t="str">
        <f t="shared" si="8"/>
        <v>Guard rails ($)</v>
      </c>
      <c r="C81" s="13">
        <v>192</v>
      </c>
      <c r="D81" s="13">
        <v>200</v>
      </c>
      <c r="E81" s="13">
        <v>210</v>
      </c>
      <c r="F81" s="13">
        <v>224</v>
      </c>
      <c r="G81" s="13">
        <v>240</v>
      </c>
      <c r="H81" s="13">
        <v>250</v>
      </c>
      <c r="I81" s="13">
        <v>261</v>
      </c>
      <c r="J81" s="12">
        <v>0</v>
      </c>
    </row>
    <row r="82" spans="1:10" x14ac:dyDescent="0.45">
      <c r="A82">
        <v>16</v>
      </c>
      <c r="B82" s="9" t="str">
        <f t="shared" si="8"/>
        <v>Arborist tree health inspection ($/tree)</v>
      </c>
      <c r="C82" s="13">
        <v>100</v>
      </c>
      <c r="D82" s="13">
        <v>151.22387260821927</v>
      </c>
      <c r="E82" s="13">
        <v>214.55787713055506</v>
      </c>
      <c r="F82" s="13">
        <v>250</v>
      </c>
      <c r="G82" s="13">
        <v>317.71112265786485</v>
      </c>
      <c r="H82" s="13">
        <v>390.83395072598034</v>
      </c>
      <c r="I82" s="13">
        <v>450</v>
      </c>
      <c r="J82" s="12">
        <v>0</v>
      </c>
    </row>
    <row r="83" spans="1:10" x14ac:dyDescent="0.45">
      <c r="A83">
        <v>17</v>
      </c>
      <c r="B83" s="9" t="str">
        <f t="shared" si="8"/>
        <v>GIS mapping and inventory assessment ($)</v>
      </c>
      <c r="C83" s="80">
        <v>1.5</v>
      </c>
      <c r="D83" s="80">
        <v>1.7845689676101</v>
      </c>
      <c r="E83" s="80">
        <v>2.1363325133837829</v>
      </c>
      <c r="F83" s="80">
        <v>2.4</v>
      </c>
      <c r="G83" s="80">
        <v>2.6635533436732324</v>
      </c>
      <c r="H83" s="80">
        <v>3.0153245181026467</v>
      </c>
      <c r="I83" s="80">
        <v>3.3</v>
      </c>
      <c r="J83" s="81">
        <v>0</v>
      </c>
    </row>
    <row r="84" spans="1:10" x14ac:dyDescent="0.45">
      <c r="A84">
        <v>18</v>
      </c>
      <c r="B84" s="9" t="str">
        <f t="shared" si="8"/>
        <v>Watering ($/tree per visit)</v>
      </c>
      <c r="C84" s="80">
        <v>2</v>
      </c>
      <c r="D84" s="80">
        <v>2.2000000000000002</v>
      </c>
      <c r="E84" s="80">
        <v>2.2000000000000002</v>
      </c>
      <c r="F84" s="80">
        <v>4</v>
      </c>
      <c r="G84" s="80">
        <v>2.2000000000000002</v>
      </c>
      <c r="H84" s="80">
        <v>2.2000000000000002</v>
      </c>
      <c r="I84" s="80">
        <v>6</v>
      </c>
      <c r="J84" s="81">
        <v>0</v>
      </c>
    </row>
    <row r="85" spans="1:10" x14ac:dyDescent="0.45">
      <c r="A85">
        <v>19</v>
      </c>
      <c r="B85" s="9" t="str">
        <f t="shared" si="8"/>
        <v>Strata cells/vault installation ($/tree)</v>
      </c>
      <c r="C85" s="80"/>
      <c r="D85" s="80"/>
      <c r="E85" s="80"/>
      <c r="F85" s="80"/>
      <c r="G85" s="80"/>
      <c r="H85" s="80"/>
      <c r="I85" s="80"/>
      <c r="J85" s="81"/>
    </row>
    <row r="86" spans="1:10" x14ac:dyDescent="0.45">
      <c r="A86">
        <v>20</v>
      </c>
      <c r="B86" s="9" t="str">
        <f t="shared" si="8"/>
        <v>Visual tree inspection ($/tree)</v>
      </c>
      <c r="C86" s="80">
        <v>1.5</v>
      </c>
      <c r="D86" s="80">
        <v>1.6500000000000001</v>
      </c>
      <c r="E86" s="80">
        <v>2.25</v>
      </c>
      <c r="F86" s="80">
        <v>3</v>
      </c>
      <c r="G86" s="80">
        <v>4</v>
      </c>
      <c r="H86" s="80">
        <v>4.8</v>
      </c>
      <c r="I86" s="80">
        <v>5</v>
      </c>
      <c r="J86" s="81">
        <v>0</v>
      </c>
    </row>
    <row r="87" spans="1:10" x14ac:dyDescent="0.45">
      <c r="A87">
        <v>21</v>
      </c>
      <c r="B87" s="9" t="str">
        <f t="shared" si="8"/>
        <v>User specified cost item 1 ($/tree in Year 1 only)</v>
      </c>
      <c r="C87" s="80"/>
      <c r="D87" s="80"/>
      <c r="E87" s="80"/>
      <c r="F87" s="80"/>
      <c r="G87" s="80"/>
      <c r="H87" s="80"/>
      <c r="I87" s="80"/>
      <c r="J87" s="81"/>
    </row>
    <row r="88" spans="1:10" x14ac:dyDescent="0.45">
      <c r="A88">
        <v>22</v>
      </c>
      <c r="B88" s="9" t="str">
        <f t="shared" si="8"/>
        <v>User specified cost item 2 ($/tree per annum up to year 2)</v>
      </c>
      <c r="C88" s="80"/>
      <c r="D88" s="80"/>
      <c r="E88" s="80"/>
      <c r="F88" s="80"/>
      <c r="G88" s="80"/>
      <c r="H88" s="80"/>
      <c r="I88" s="80"/>
      <c r="J88" s="81"/>
    </row>
    <row r="89" spans="1:10" x14ac:dyDescent="0.45">
      <c r="A89">
        <v>23</v>
      </c>
      <c r="B89" s="9" t="str">
        <f t="shared" si="8"/>
        <v>User specified cost item 3 ($/tree per annum)</v>
      </c>
      <c r="C89" s="80"/>
      <c r="D89" s="80"/>
      <c r="E89" s="80"/>
      <c r="F89" s="80"/>
      <c r="G89" s="80"/>
      <c r="H89" s="80"/>
      <c r="I89" s="80"/>
      <c r="J89" s="81"/>
    </row>
    <row r="90" spans="1:10" x14ac:dyDescent="0.45">
      <c r="A90">
        <v>24</v>
      </c>
      <c r="B90" s="9" t="str">
        <f t="shared" si="8"/>
        <v>User specified cost item 4 ($/tree per annum)</v>
      </c>
      <c r="C90" s="80"/>
      <c r="D90" s="80"/>
      <c r="E90" s="80"/>
      <c r="F90" s="80"/>
      <c r="G90" s="80"/>
      <c r="H90" s="80"/>
      <c r="I90" s="80"/>
      <c r="J90" s="81"/>
    </row>
    <row r="91" spans="1:10" x14ac:dyDescent="0.45">
      <c r="A91">
        <v>25</v>
      </c>
      <c r="B91" s="9" t="str">
        <f t="shared" si="8"/>
        <v>User specified cost item 5 ($/tree per annum)</v>
      </c>
      <c r="C91" s="80"/>
      <c r="D91" s="80"/>
      <c r="E91" s="80"/>
      <c r="F91" s="80"/>
      <c r="G91" s="80"/>
      <c r="H91" s="80"/>
      <c r="I91" s="80"/>
      <c r="J91" s="81"/>
    </row>
    <row r="92" spans="1:10" x14ac:dyDescent="0.45">
      <c r="A92">
        <v>26</v>
      </c>
      <c r="B92" s="9" t="str">
        <f t="shared" si="8"/>
        <v>User specified cost item 6 ($/tree per annum)</v>
      </c>
      <c r="C92" s="80"/>
      <c r="D92" s="80"/>
      <c r="E92" s="80"/>
      <c r="F92" s="80"/>
      <c r="G92" s="80"/>
      <c r="H92" s="80"/>
      <c r="I92" s="80"/>
      <c r="J92" s="81"/>
    </row>
  </sheetData>
  <sheetProtection algorithmName="SHA-512" hashValue="gkt6PPSh/6xs6QFOTOn/STqou0sD05xv2KksyAArlA1CduDbRpsQSz+zVAuoSc5JSDX5BNMyTBE70aHO3fxAhw==" saltValue="SKmnIqivYhVsQrcFhw1Kwg==" spinCount="100000" sheet="1" objects="1" scenarios="1"/>
  <mergeCells count="3">
    <mergeCell ref="C3:J3"/>
    <mergeCell ref="C34:J34"/>
    <mergeCell ref="C64:J64"/>
  </mergeCells>
  <phoneticPr fontId="10" type="noConversion"/>
  <conditionalFormatting sqref="F23:F31">
    <cfRule type="expression" dxfId="3" priority="13" stopIfTrue="1">
      <formula>RiskIsInput</formula>
    </cfRule>
  </conditionalFormatting>
  <conditionalFormatting sqref="D23:E31 G23:H31">
    <cfRule type="expression" dxfId="2" priority="14" stopIfTrue="1">
      <formula>RiskIsStatistics</formula>
    </cfRule>
  </conditionalFormatting>
  <conditionalFormatting sqref="F22">
    <cfRule type="expression" dxfId="1" priority="1" stopIfTrue="1">
      <formula>RiskIsInput</formula>
    </cfRule>
  </conditionalFormatting>
  <conditionalFormatting sqref="D22:E22 G22:H22">
    <cfRule type="expression" dxfId="0" priority="2" stopIfTrue="1">
      <formula>RiskIsStatistics</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B829-4D3A-43BC-A9A1-63740E157CA1}">
  <sheetPr published="0">
    <tabColor theme="8"/>
  </sheetPr>
  <dimension ref="A2:J21"/>
  <sheetViews>
    <sheetView workbookViewId="0">
      <selection activeCell="J23" sqref="J23"/>
    </sheetView>
  </sheetViews>
  <sheetFormatPr defaultColWidth="8.86328125" defaultRowHeight="14.25" x14ac:dyDescent="0.45"/>
  <cols>
    <col min="1" max="1" width="40.3984375" customWidth="1"/>
  </cols>
  <sheetData>
    <row r="2" spans="1:10" x14ac:dyDescent="0.45">
      <c r="A2" t="s">
        <v>321</v>
      </c>
      <c r="B2">
        <f>6000/30</f>
        <v>200</v>
      </c>
    </row>
    <row r="3" spans="1:10" x14ac:dyDescent="0.45">
      <c r="A3" t="s">
        <v>303</v>
      </c>
    </row>
    <row r="4" spans="1:10" x14ac:dyDescent="0.45">
      <c r="A4" t="s">
        <v>320</v>
      </c>
      <c r="B4" s="84">
        <f>500/30</f>
        <v>16.666666666666668</v>
      </c>
      <c r="C4" t="s">
        <v>319</v>
      </c>
    </row>
    <row r="5" spans="1:10" x14ac:dyDescent="0.45">
      <c r="A5" t="s">
        <v>322</v>
      </c>
      <c r="B5" s="84">
        <f>4000/30</f>
        <v>133.33333333333334</v>
      </c>
    </row>
    <row r="10" spans="1:10" x14ac:dyDescent="0.45">
      <c r="B10" s="40" t="s">
        <v>2</v>
      </c>
      <c r="C10" s="40" t="s">
        <v>3</v>
      </c>
      <c r="D10" s="40" t="s">
        <v>4</v>
      </c>
      <c r="E10" s="40" t="s">
        <v>103</v>
      </c>
      <c r="F10" s="40" t="s">
        <v>6</v>
      </c>
      <c r="G10" s="40" t="s">
        <v>7</v>
      </c>
      <c r="H10" s="40" t="s">
        <v>8</v>
      </c>
      <c r="I10" s="40" t="s">
        <v>0</v>
      </c>
    </row>
    <row r="11" spans="1:10" x14ac:dyDescent="0.45">
      <c r="A11" t="s">
        <v>321</v>
      </c>
      <c r="B11" s="262">
        <v>662</v>
      </c>
      <c r="C11" s="262">
        <v>723</v>
      </c>
      <c r="D11" s="262">
        <v>967</v>
      </c>
      <c r="E11" s="262">
        <v>1272</v>
      </c>
      <c r="F11" s="262">
        <v>2032.5</v>
      </c>
      <c r="G11" s="262">
        <v>2640.8999999999996</v>
      </c>
      <c r="H11" s="262">
        <v>2793</v>
      </c>
      <c r="I11" s="256">
        <v>0</v>
      </c>
      <c r="J11" t="s">
        <v>357</v>
      </c>
    </row>
    <row r="12" spans="1:10" x14ac:dyDescent="0.45">
      <c r="A12" t="s">
        <v>353</v>
      </c>
      <c r="B12" s="262">
        <v>191</v>
      </c>
      <c r="C12" s="262">
        <v>200.8</v>
      </c>
      <c r="D12" s="262">
        <v>240</v>
      </c>
      <c r="E12" s="262">
        <v>289</v>
      </c>
      <c r="F12" s="262">
        <v>384.5</v>
      </c>
      <c r="G12" s="262">
        <v>460.9</v>
      </c>
      <c r="H12" s="262">
        <v>480</v>
      </c>
      <c r="I12" s="256">
        <v>0</v>
      </c>
      <c r="J12" t="s">
        <v>354</v>
      </c>
    </row>
    <row r="13" spans="1:10" x14ac:dyDescent="0.45">
      <c r="A13" t="s">
        <v>346</v>
      </c>
      <c r="B13" s="256">
        <v>3</v>
      </c>
      <c r="C13" s="256">
        <v>3.1500000000000004</v>
      </c>
      <c r="D13" s="256">
        <v>3.75</v>
      </c>
      <c r="E13" s="256">
        <v>4.5</v>
      </c>
      <c r="F13" s="256">
        <v>5.25</v>
      </c>
      <c r="G13" s="256">
        <v>5.85</v>
      </c>
      <c r="H13" s="256">
        <v>6</v>
      </c>
      <c r="I13" s="256">
        <v>0</v>
      </c>
      <c r="J13" t="s">
        <v>356</v>
      </c>
    </row>
    <row r="14" spans="1:10" x14ac:dyDescent="0.45">
      <c r="A14" t="s">
        <v>325</v>
      </c>
      <c r="B14" s="256">
        <v>0.5</v>
      </c>
      <c r="C14" s="256">
        <v>0.78000000000000025</v>
      </c>
      <c r="D14" s="256">
        <v>1.9</v>
      </c>
      <c r="E14" s="256">
        <v>3.3</v>
      </c>
      <c r="F14" s="256">
        <v>4.6500000000000004</v>
      </c>
      <c r="G14" s="256">
        <v>5.7299999999999995</v>
      </c>
      <c r="H14" s="256">
        <v>6</v>
      </c>
      <c r="I14" s="256">
        <v>0</v>
      </c>
      <c r="J14" s="252" t="s">
        <v>355</v>
      </c>
    </row>
    <row r="15" spans="1:10" x14ac:dyDescent="0.45">
      <c r="A15" t="s">
        <v>340</v>
      </c>
      <c r="B15" s="328">
        <v>16</v>
      </c>
      <c r="C15" s="328">
        <v>36.600000000000023</v>
      </c>
      <c r="D15" s="328">
        <v>119</v>
      </c>
      <c r="E15" s="328">
        <v>222</v>
      </c>
      <c r="F15" s="328">
        <v>325</v>
      </c>
      <c r="G15" s="328">
        <v>407.4</v>
      </c>
      <c r="H15" s="328">
        <v>428</v>
      </c>
      <c r="I15" s="328">
        <v>0</v>
      </c>
      <c r="J15" t="s">
        <v>386</v>
      </c>
    </row>
    <row r="16" spans="1:10" x14ac:dyDescent="0.45">
      <c r="A16" t="s">
        <v>341</v>
      </c>
      <c r="B16" s="258">
        <v>36</v>
      </c>
      <c r="C16" s="258">
        <v>37.200000000000003</v>
      </c>
      <c r="D16" s="258">
        <v>42</v>
      </c>
      <c r="E16" s="258">
        <v>48</v>
      </c>
      <c r="F16" s="258">
        <v>54</v>
      </c>
      <c r="G16" s="258">
        <v>58.8</v>
      </c>
      <c r="H16" s="258">
        <v>60</v>
      </c>
      <c r="I16" s="257">
        <v>0</v>
      </c>
    </row>
    <row r="17" spans="1:10" x14ac:dyDescent="0.45">
      <c r="A17" t="s">
        <v>308</v>
      </c>
      <c r="B17" s="185">
        <v>104.0275980432</v>
      </c>
      <c r="C17" s="185">
        <v>112.9805845623</v>
      </c>
      <c r="D17" s="185">
        <v>124.418701485</v>
      </c>
      <c r="E17" s="185">
        <v>132.99</v>
      </c>
      <c r="F17" s="185">
        <v>141.559207335</v>
      </c>
      <c r="G17" s="185">
        <v>152.99564751899999</v>
      </c>
      <c r="H17" s="185">
        <v>162.098148186</v>
      </c>
      <c r="I17" s="257">
        <v>0</v>
      </c>
    </row>
    <row r="18" spans="1:10" x14ac:dyDescent="0.45">
      <c r="A18" t="s">
        <v>387</v>
      </c>
      <c r="B18" s="185">
        <v>27.457285728599995</v>
      </c>
      <c r="C18" s="185">
        <v>29.818945915199997</v>
      </c>
      <c r="D18" s="185">
        <v>32.837992317000001</v>
      </c>
      <c r="E18" s="185">
        <v>35.099999999999994</v>
      </c>
      <c r="F18" s="185">
        <v>37.361479065299996</v>
      </c>
      <c r="G18" s="185">
        <v>40.379073497100002</v>
      </c>
      <c r="H18" s="185">
        <v>42.749797977900002</v>
      </c>
      <c r="I18" s="257">
        <v>0</v>
      </c>
      <c r="J18" s="329"/>
    </row>
    <row r="19" spans="1:10" x14ac:dyDescent="0.45">
      <c r="A19" t="s">
        <v>388</v>
      </c>
      <c r="B19" s="185">
        <v>20.592964296449995</v>
      </c>
      <c r="C19" s="185">
        <v>22.364209436399996</v>
      </c>
      <c r="D19" s="185">
        <v>24.628494237750001</v>
      </c>
      <c r="E19" s="185">
        <v>26.324999999999996</v>
      </c>
      <c r="F19" s="185">
        <v>28.021109298974999</v>
      </c>
      <c r="G19" s="185">
        <v>30.284305122825003</v>
      </c>
      <c r="H19" s="185">
        <v>32.062348483424998</v>
      </c>
      <c r="I19" s="257">
        <v>0</v>
      </c>
    </row>
    <row r="20" spans="1:10" x14ac:dyDescent="0.45">
      <c r="A20" s="136" t="s">
        <v>366</v>
      </c>
      <c r="B20" s="134">
        <f>Input_Data!C22*Dashboard_3!$H$8</f>
        <v>1500</v>
      </c>
      <c r="C20" s="134">
        <f>Input_Data!D22*Dashboard_3!$H$8</f>
        <v>1784.5689676100999</v>
      </c>
      <c r="D20" s="134">
        <f>Input_Data!E22*Dashboard_3!$H$8</f>
        <v>2136.332513383783</v>
      </c>
      <c r="E20" s="134">
        <f>Input_Data!F22*Dashboard_3!$H$8</f>
        <v>2400</v>
      </c>
      <c r="F20" s="134">
        <f>Input_Data!G22*Dashboard_3!$H$8</f>
        <v>2663.5533436732326</v>
      </c>
      <c r="G20" s="134">
        <f>Input_Data!H22*Dashboard_3!$H$8</f>
        <v>3015.3245181026468</v>
      </c>
      <c r="H20" s="134">
        <f>Input_Data!I22*Dashboard_3!$H$8</f>
        <v>3300</v>
      </c>
      <c r="I20" s="328">
        <v>0</v>
      </c>
    </row>
    <row r="21" spans="1:10" x14ac:dyDescent="0.45">
      <c r="A21" s="136" t="s">
        <v>116</v>
      </c>
      <c r="B21" s="134">
        <v>225</v>
      </c>
      <c r="C21" s="134">
        <v>321.89999999999998</v>
      </c>
      <c r="D21" s="134">
        <v>709.5</v>
      </c>
      <c r="E21" s="134">
        <v>871</v>
      </c>
      <c r="F21" s="134">
        <v>2737.5</v>
      </c>
      <c r="G21" s="134">
        <v>3667.4999999999995</v>
      </c>
      <c r="H21" s="134">
        <v>3900</v>
      </c>
      <c r="I21" s="328">
        <v>0</v>
      </c>
      <c r="J21" t="s">
        <v>435</v>
      </c>
    </row>
  </sheetData>
  <sheetProtection algorithmName="SHA-512" hashValue="p81IfwNUuc33Wf4sN/4UR7X55t7GXrAiFWuPHNafOo61ymj4mREPtF/C2/3ptQt+3SImlULmHMEkILOeIuOrwA==" saltValue="hBlkyHmLLSPnjEEnb7yb3Q==" spinCount="100000" sheet="1" objects="1" scenarios="1"/>
  <hyperlinks>
    <hyperlink ref="J14" r:id="rId1" display="https://fernland.com.au/landscape-revegetation-supplies/stakes/tree-protection-sleeves-guards.html" xr:uid="{D2D7A117-A5CF-49F8-A0C7-580F87C5A2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8E60-1562-4ACC-92DC-BA9C38090723}">
  <sheetPr published="0">
    <tabColor theme="8"/>
  </sheetPr>
  <dimension ref="B1:P82"/>
  <sheetViews>
    <sheetView workbookViewId="0">
      <selection activeCell="D9" sqref="D9"/>
    </sheetView>
  </sheetViews>
  <sheetFormatPr defaultColWidth="8.86328125" defaultRowHeight="14.25" x14ac:dyDescent="0.45"/>
  <cols>
    <col min="2" max="2" width="11.265625" customWidth="1"/>
    <col min="3" max="4" width="9.1328125" customWidth="1"/>
    <col min="5" max="5" width="14.265625" customWidth="1"/>
    <col min="6" max="7" width="9.1328125" customWidth="1"/>
    <col min="8" max="8" width="17.73046875" customWidth="1"/>
    <col min="9" max="9" width="16.265625" customWidth="1"/>
    <col min="10" max="10" width="12.3984375" customWidth="1"/>
    <col min="11" max="11" width="9.1328125" customWidth="1"/>
    <col min="12" max="12" width="15.73046875" bestFit="1" customWidth="1"/>
    <col min="13" max="13" width="15.73046875" customWidth="1"/>
    <col min="15" max="15" width="16.73046875" customWidth="1"/>
    <col min="16" max="16" width="19.73046875" customWidth="1"/>
  </cols>
  <sheetData>
    <row r="1" spans="2:16" s="162" customFormat="1" ht="28.5" x14ac:dyDescent="0.45">
      <c r="B1" s="172" t="s">
        <v>41</v>
      </c>
      <c r="C1" s="173"/>
      <c r="D1" s="172" t="s">
        <v>40</v>
      </c>
      <c r="F1" s="172" t="s">
        <v>42</v>
      </c>
      <c r="H1" s="172" t="s">
        <v>44</v>
      </c>
      <c r="I1" s="172" t="s">
        <v>45</v>
      </c>
      <c r="J1" s="172" t="s">
        <v>36</v>
      </c>
      <c r="K1" s="173"/>
      <c r="L1" s="172" t="s">
        <v>129</v>
      </c>
      <c r="M1" s="172"/>
      <c r="O1" s="172" t="s">
        <v>166</v>
      </c>
    </row>
    <row r="2" spans="2:16" x14ac:dyDescent="0.45">
      <c r="B2" t="s">
        <v>203</v>
      </c>
      <c r="D2" t="s">
        <v>2</v>
      </c>
      <c r="E2" t="s">
        <v>107</v>
      </c>
      <c r="F2">
        <v>0</v>
      </c>
      <c r="H2" s="37">
        <v>0</v>
      </c>
      <c r="I2" s="38">
        <v>0.03</v>
      </c>
      <c r="J2" s="37">
        <v>0</v>
      </c>
      <c r="L2" t="s">
        <v>130</v>
      </c>
      <c r="M2">
        <v>1</v>
      </c>
      <c r="O2" t="s">
        <v>167</v>
      </c>
    </row>
    <row r="3" spans="2:16" x14ac:dyDescent="0.45">
      <c r="B3" t="s">
        <v>202</v>
      </c>
      <c r="D3" t="s">
        <v>3</v>
      </c>
      <c r="E3" t="s">
        <v>104</v>
      </c>
      <c r="F3">
        <v>0.1</v>
      </c>
      <c r="H3" s="37">
        <v>0.01</v>
      </c>
      <c r="I3" s="38">
        <v>0.04</v>
      </c>
      <c r="J3" s="39">
        <v>2.5000000000000001E-3</v>
      </c>
      <c r="L3" t="s">
        <v>131</v>
      </c>
      <c r="M3">
        <v>0.5</v>
      </c>
    </row>
    <row r="4" spans="2:16" x14ac:dyDescent="0.45">
      <c r="B4" t="s">
        <v>9</v>
      </c>
      <c r="D4" t="s">
        <v>4</v>
      </c>
      <c r="E4" t="s">
        <v>108</v>
      </c>
      <c r="F4">
        <v>0.2</v>
      </c>
      <c r="H4" s="37">
        <v>0.02</v>
      </c>
      <c r="I4" s="38">
        <v>0.05</v>
      </c>
      <c r="J4" s="39">
        <v>5.0000000000000001E-3</v>
      </c>
      <c r="L4" t="s">
        <v>132</v>
      </c>
      <c r="M4">
        <f>1/3</f>
        <v>0.33333333333333331</v>
      </c>
    </row>
    <row r="5" spans="2:16" x14ac:dyDescent="0.45">
      <c r="D5" t="s">
        <v>103</v>
      </c>
      <c r="E5" t="s">
        <v>110</v>
      </c>
      <c r="F5">
        <v>0.3</v>
      </c>
      <c r="H5" s="37">
        <v>0.03</v>
      </c>
      <c r="I5" s="38">
        <v>0.06</v>
      </c>
      <c r="J5" s="39">
        <v>7.4999999999999997E-3</v>
      </c>
      <c r="L5" t="s">
        <v>133</v>
      </c>
      <c r="M5">
        <f>1/4</f>
        <v>0.25</v>
      </c>
      <c r="O5" s="171" t="s">
        <v>185</v>
      </c>
    </row>
    <row r="6" spans="2:16" x14ac:dyDescent="0.45">
      <c r="D6" t="s">
        <v>6</v>
      </c>
      <c r="E6" t="s">
        <v>109</v>
      </c>
      <c r="F6">
        <v>0.4</v>
      </c>
      <c r="H6" s="37">
        <v>0.04</v>
      </c>
      <c r="I6" s="38">
        <v>7.0000000000000007E-2</v>
      </c>
      <c r="J6" s="58">
        <v>0.01</v>
      </c>
      <c r="L6" t="s">
        <v>134</v>
      </c>
      <c r="M6">
        <f>1/5</f>
        <v>0.2</v>
      </c>
      <c r="O6" t="s">
        <v>175</v>
      </c>
      <c r="P6">
        <f>2*52</f>
        <v>104</v>
      </c>
    </row>
    <row r="7" spans="2:16" x14ac:dyDescent="0.45">
      <c r="D7" t="s">
        <v>7</v>
      </c>
      <c r="E7" t="s">
        <v>105</v>
      </c>
      <c r="F7">
        <v>0.5</v>
      </c>
      <c r="H7" s="37">
        <v>0.05</v>
      </c>
      <c r="I7" s="38">
        <v>0.08</v>
      </c>
      <c r="J7" s="58">
        <v>1.2500000000000001E-2</v>
      </c>
      <c r="L7" t="s">
        <v>0</v>
      </c>
      <c r="O7" t="s">
        <v>176</v>
      </c>
      <c r="P7">
        <v>52</v>
      </c>
    </row>
    <row r="8" spans="2:16" x14ac:dyDescent="0.45">
      <c r="D8" t="s">
        <v>8</v>
      </c>
      <c r="E8" t="s">
        <v>106</v>
      </c>
      <c r="F8">
        <v>0.6</v>
      </c>
      <c r="H8" s="37">
        <v>0.06</v>
      </c>
      <c r="I8" s="38">
        <v>0.09</v>
      </c>
      <c r="J8" s="39">
        <v>1.4999999999999999E-2</v>
      </c>
      <c r="O8" t="s">
        <v>177</v>
      </c>
      <c r="P8">
        <v>26</v>
      </c>
    </row>
    <row r="9" spans="2:16" x14ac:dyDescent="0.45">
      <c r="D9" t="s">
        <v>0</v>
      </c>
      <c r="E9" t="s">
        <v>0</v>
      </c>
      <c r="F9">
        <v>0.7</v>
      </c>
      <c r="H9" s="37">
        <v>7.0000000000000007E-2</v>
      </c>
      <c r="I9" s="38">
        <v>0.1</v>
      </c>
      <c r="J9" s="58">
        <v>1.7500000000000002E-2</v>
      </c>
      <c r="O9" t="s">
        <v>178</v>
      </c>
      <c r="P9">
        <v>12</v>
      </c>
    </row>
    <row r="10" spans="2:16" ht="28.5" x14ac:dyDescent="0.45">
      <c r="B10" s="172" t="s">
        <v>275</v>
      </c>
      <c r="F10">
        <v>0.8</v>
      </c>
      <c r="H10" s="37">
        <v>0.08</v>
      </c>
      <c r="J10" s="58">
        <v>0.02</v>
      </c>
      <c r="O10" t="s">
        <v>188</v>
      </c>
      <c r="P10">
        <v>6</v>
      </c>
    </row>
    <row r="11" spans="2:16" x14ac:dyDescent="0.45">
      <c r="B11">
        <v>5</v>
      </c>
      <c r="F11">
        <v>0.9</v>
      </c>
      <c r="H11" s="37">
        <v>0.09</v>
      </c>
      <c r="J11" s="39">
        <v>2.2499999999999999E-2</v>
      </c>
      <c r="L11" s="171" t="s">
        <v>174</v>
      </c>
      <c r="M11" s="171"/>
      <c r="O11" t="s">
        <v>189</v>
      </c>
      <c r="P11">
        <v>4</v>
      </c>
    </row>
    <row r="12" spans="2:16" x14ac:dyDescent="0.45">
      <c r="B12">
        <v>10</v>
      </c>
      <c r="F12">
        <v>1</v>
      </c>
      <c r="H12" s="37">
        <v>0.1</v>
      </c>
      <c r="J12" s="39">
        <v>2.5000000000000001E-2</v>
      </c>
      <c r="L12" t="s">
        <v>179</v>
      </c>
      <c r="M12">
        <v>1</v>
      </c>
      <c r="O12" t="s">
        <v>190</v>
      </c>
      <c r="P12">
        <v>2</v>
      </c>
    </row>
    <row r="13" spans="2:16" x14ac:dyDescent="0.45">
      <c r="B13">
        <v>20</v>
      </c>
      <c r="H13" s="37">
        <v>0.11</v>
      </c>
      <c r="J13" s="39">
        <v>2.75E-2</v>
      </c>
      <c r="L13" t="s">
        <v>180</v>
      </c>
      <c r="M13">
        <v>2</v>
      </c>
      <c r="O13" t="s">
        <v>191</v>
      </c>
      <c r="P13">
        <v>1</v>
      </c>
    </row>
    <row r="14" spans="2:16" x14ac:dyDescent="0.45">
      <c r="B14">
        <v>30</v>
      </c>
      <c r="H14" s="37">
        <v>0.12</v>
      </c>
      <c r="J14" s="39">
        <v>0.03</v>
      </c>
      <c r="L14" t="s">
        <v>181</v>
      </c>
      <c r="M14">
        <v>3</v>
      </c>
      <c r="O14" t="s">
        <v>0</v>
      </c>
      <c r="P14">
        <v>0</v>
      </c>
    </row>
    <row r="15" spans="2:16" x14ac:dyDescent="0.45">
      <c r="B15">
        <v>40</v>
      </c>
      <c r="H15" s="37">
        <v>0.13</v>
      </c>
      <c r="J15" s="39">
        <v>3.2500000000000001E-2</v>
      </c>
      <c r="L15" t="s">
        <v>182</v>
      </c>
      <c r="M15">
        <v>4</v>
      </c>
    </row>
    <row r="16" spans="2:16" x14ac:dyDescent="0.45">
      <c r="B16">
        <v>50</v>
      </c>
      <c r="H16" s="37">
        <v>0.14000000000000001</v>
      </c>
      <c r="J16" s="39">
        <v>3.5000000000000003E-2</v>
      </c>
      <c r="L16" t="s">
        <v>183</v>
      </c>
      <c r="M16">
        <v>5</v>
      </c>
    </row>
    <row r="17" spans="2:13" x14ac:dyDescent="0.45">
      <c r="H17" s="37">
        <v>0.15</v>
      </c>
      <c r="L17" t="s">
        <v>184</v>
      </c>
      <c r="M17">
        <v>10</v>
      </c>
    </row>
    <row r="18" spans="2:13" ht="42.75" x14ac:dyDescent="0.45">
      <c r="B18" s="172" t="s">
        <v>301</v>
      </c>
      <c r="D18" s="238" t="s">
        <v>315</v>
      </c>
      <c r="H18" s="37">
        <v>0.16</v>
      </c>
    </row>
    <row r="19" spans="2:13" x14ac:dyDescent="0.45">
      <c r="B19" t="s">
        <v>302</v>
      </c>
      <c r="D19">
        <v>50</v>
      </c>
      <c r="H19" s="37">
        <v>0.17</v>
      </c>
    </row>
    <row r="20" spans="2:13" x14ac:dyDescent="0.45">
      <c r="B20" t="s">
        <v>303</v>
      </c>
      <c r="D20">
        <v>100</v>
      </c>
      <c r="H20" s="37">
        <v>0.18</v>
      </c>
    </row>
    <row r="21" spans="2:13" x14ac:dyDescent="0.45">
      <c r="D21">
        <v>200</v>
      </c>
      <c r="H21" s="37">
        <v>0.19</v>
      </c>
    </row>
    <row r="22" spans="2:13" x14ac:dyDescent="0.45">
      <c r="D22">
        <v>400</v>
      </c>
      <c r="E22" t="s">
        <v>316</v>
      </c>
      <c r="H22" s="37">
        <v>0.2</v>
      </c>
    </row>
    <row r="23" spans="2:13" x14ac:dyDescent="0.45">
      <c r="D23">
        <v>500</v>
      </c>
      <c r="E23" t="s">
        <v>318</v>
      </c>
      <c r="H23" s="37">
        <v>0.21</v>
      </c>
    </row>
    <row r="24" spans="2:13" x14ac:dyDescent="0.45">
      <c r="D24">
        <v>600</v>
      </c>
      <c r="E24" t="s">
        <v>317</v>
      </c>
      <c r="H24" s="37">
        <v>0.22</v>
      </c>
    </row>
    <row r="25" spans="2:13" x14ac:dyDescent="0.45">
      <c r="D25">
        <v>800</v>
      </c>
      <c r="H25" s="37">
        <v>0.23</v>
      </c>
    </row>
    <row r="26" spans="2:13" x14ac:dyDescent="0.45">
      <c r="D26">
        <v>1000</v>
      </c>
      <c r="H26" s="37">
        <v>0.24</v>
      </c>
    </row>
    <row r="27" spans="2:13" x14ac:dyDescent="0.45">
      <c r="D27">
        <v>1200</v>
      </c>
      <c r="H27" s="37">
        <v>0.25</v>
      </c>
    </row>
    <row r="28" spans="2:13" x14ac:dyDescent="0.45">
      <c r="D28">
        <v>1500</v>
      </c>
      <c r="H28" s="37">
        <v>0.26</v>
      </c>
    </row>
    <row r="29" spans="2:13" x14ac:dyDescent="0.45">
      <c r="H29" s="37">
        <v>0.27</v>
      </c>
    </row>
    <row r="30" spans="2:13" x14ac:dyDescent="0.45">
      <c r="H30" s="37">
        <v>0.28000000000000003</v>
      </c>
    </row>
    <row r="31" spans="2:13" x14ac:dyDescent="0.45">
      <c r="H31" s="37">
        <v>0.28999999999999998</v>
      </c>
    </row>
    <row r="32" spans="2:13" x14ac:dyDescent="0.45">
      <c r="H32" s="37">
        <v>0.3</v>
      </c>
    </row>
    <row r="33" spans="8:8" x14ac:dyDescent="0.45">
      <c r="H33" s="37">
        <v>0.31</v>
      </c>
    </row>
    <row r="34" spans="8:8" x14ac:dyDescent="0.45">
      <c r="H34" s="37">
        <v>0.32</v>
      </c>
    </row>
    <row r="35" spans="8:8" x14ac:dyDescent="0.45">
      <c r="H35" s="37">
        <v>0.33</v>
      </c>
    </row>
    <row r="36" spans="8:8" x14ac:dyDescent="0.45">
      <c r="H36" s="37">
        <v>0.34</v>
      </c>
    </row>
    <row r="37" spans="8:8" x14ac:dyDescent="0.45">
      <c r="H37" s="37">
        <v>0.35</v>
      </c>
    </row>
    <row r="38" spans="8:8" x14ac:dyDescent="0.45">
      <c r="H38" s="37">
        <v>0.36</v>
      </c>
    </row>
    <row r="39" spans="8:8" x14ac:dyDescent="0.45">
      <c r="H39" s="37">
        <v>0.37</v>
      </c>
    </row>
    <row r="40" spans="8:8" x14ac:dyDescent="0.45">
      <c r="H40" s="37">
        <v>0.38</v>
      </c>
    </row>
    <row r="41" spans="8:8" x14ac:dyDescent="0.45">
      <c r="H41" s="37">
        <v>0.39</v>
      </c>
    </row>
    <row r="42" spans="8:8" x14ac:dyDescent="0.45">
      <c r="H42" s="37">
        <v>0.4</v>
      </c>
    </row>
    <row r="43" spans="8:8" x14ac:dyDescent="0.45">
      <c r="H43" s="37">
        <v>0.41</v>
      </c>
    </row>
    <row r="44" spans="8:8" x14ac:dyDescent="0.45">
      <c r="H44" s="37">
        <v>0.42</v>
      </c>
    </row>
    <row r="45" spans="8:8" x14ac:dyDescent="0.45">
      <c r="H45" s="37">
        <v>0.43</v>
      </c>
    </row>
    <row r="46" spans="8:8" x14ac:dyDescent="0.45">
      <c r="H46" s="37">
        <v>0.44</v>
      </c>
    </row>
    <row r="47" spans="8:8" x14ac:dyDescent="0.45">
      <c r="H47" s="37">
        <v>0.45</v>
      </c>
    </row>
    <row r="48" spans="8:8" x14ac:dyDescent="0.45">
      <c r="H48" s="37">
        <v>0.46</v>
      </c>
    </row>
    <row r="49" spans="8:8" x14ac:dyDescent="0.45">
      <c r="H49" s="37">
        <v>0.47</v>
      </c>
    </row>
    <row r="50" spans="8:8" x14ac:dyDescent="0.45">
      <c r="H50" s="37">
        <v>0.48</v>
      </c>
    </row>
    <row r="51" spans="8:8" x14ac:dyDescent="0.45">
      <c r="H51" s="37">
        <v>0.49</v>
      </c>
    </row>
    <row r="52" spans="8:8" x14ac:dyDescent="0.45">
      <c r="H52" s="37">
        <v>0.5</v>
      </c>
    </row>
    <row r="53" spans="8:8" x14ac:dyDescent="0.45">
      <c r="H53" s="37">
        <v>0.51</v>
      </c>
    </row>
    <row r="54" spans="8:8" x14ac:dyDescent="0.45">
      <c r="H54" s="37">
        <v>0.52</v>
      </c>
    </row>
    <row r="55" spans="8:8" x14ac:dyDescent="0.45">
      <c r="H55" s="37">
        <v>0.53</v>
      </c>
    </row>
    <row r="56" spans="8:8" x14ac:dyDescent="0.45">
      <c r="H56" s="37">
        <v>0.54</v>
      </c>
    </row>
    <row r="57" spans="8:8" x14ac:dyDescent="0.45">
      <c r="H57" s="37">
        <v>0.55000000000000004</v>
      </c>
    </row>
    <row r="58" spans="8:8" x14ac:dyDescent="0.45">
      <c r="H58" s="37">
        <v>0.56000000000000005</v>
      </c>
    </row>
    <row r="59" spans="8:8" x14ac:dyDescent="0.45">
      <c r="H59" s="37">
        <v>0.56999999999999995</v>
      </c>
    </row>
    <row r="60" spans="8:8" x14ac:dyDescent="0.45">
      <c r="H60" s="37">
        <v>0.57999999999999996</v>
      </c>
    </row>
    <row r="61" spans="8:8" x14ac:dyDescent="0.45">
      <c r="H61" s="37">
        <v>0.59</v>
      </c>
    </row>
    <row r="62" spans="8:8" x14ac:dyDescent="0.45">
      <c r="H62" s="37">
        <v>0.6</v>
      </c>
    </row>
    <row r="63" spans="8:8" x14ac:dyDescent="0.45">
      <c r="H63" s="37">
        <v>0.61</v>
      </c>
    </row>
    <row r="64" spans="8:8" x14ac:dyDescent="0.45">
      <c r="H64" s="37">
        <v>0.62</v>
      </c>
    </row>
    <row r="65" spans="8:8" x14ac:dyDescent="0.45">
      <c r="H65" s="37">
        <v>0.63</v>
      </c>
    </row>
    <row r="66" spans="8:8" x14ac:dyDescent="0.45">
      <c r="H66" s="37">
        <v>0.64</v>
      </c>
    </row>
    <row r="67" spans="8:8" x14ac:dyDescent="0.45">
      <c r="H67" s="37">
        <v>0.65</v>
      </c>
    </row>
    <row r="68" spans="8:8" x14ac:dyDescent="0.45">
      <c r="H68" s="37">
        <v>0.66</v>
      </c>
    </row>
    <row r="69" spans="8:8" x14ac:dyDescent="0.45">
      <c r="H69" s="37">
        <v>0.67</v>
      </c>
    </row>
    <row r="70" spans="8:8" x14ac:dyDescent="0.45">
      <c r="H70" s="37">
        <v>0.68</v>
      </c>
    </row>
    <row r="71" spans="8:8" x14ac:dyDescent="0.45">
      <c r="H71" s="37">
        <v>0.69</v>
      </c>
    </row>
    <row r="72" spans="8:8" x14ac:dyDescent="0.45">
      <c r="H72" s="37">
        <v>0.7</v>
      </c>
    </row>
    <row r="73" spans="8:8" x14ac:dyDescent="0.45">
      <c r="H73" s="37">
        <v>0.71</v>
      </c>
    </row>
    <row r="74" spans="8:8" x14ac:dyDescent="0.45">
      <c r="H74" s="37">
        <v>0.72</v>
      </c>
    </row>
    <row r="75" spans="8:8" x14ac:dyDescent="0.45">
      <c r="H75" s="37">
        <v>0.73</v>
      </c>
    </row>
    <row r="76" spans="8:8" x14ac:dyDescent="0.45">
      <c r="H76" s="37">
        <v>0.74</v>
      </c>
    </row>
    <row r="77" spans="8:8" x14ac:dyDescent="0.45">
      <c r="H77" s="37">
        <v>0.75</v>
      </c>
    </row>
    <row r="78" spans="8:8" x14ac:dyDescent="0.45">
      <c r="H78" s="37">
        <v>0.76</v>
      </c>
    </row>
    <row r="79" spans="8:8" x14ac:dyDescent="0.45">
      <c r="H79" s="37">
        <v>0.77</v>
      </c>
    </row>
    <row r="80" spans="8:8" x14ac:dyDescent="0.45">
      <c r="H80" s="37">
        <v>0.78</v>
      </c>
    </row>
    <row r="81" spans="8:8" x14ac:dyDescent="0.45">
      <c r="H81" s="37">
        <v>0.79</v>
      </c>
    </row>
    <row r="82" spans="8:8" x14ac:dyDescent="0.45">
      <c r="H82" s="37">
        <v>0.8</v>
      </c>
    </row>
  </sheetData>
  <sheetProtection algorithmName="SHA-512" hashValue="D8rBnUXwW/1jyuuZQhRHHpnxJdOO+0SVTZZXmyTancXd+hxO3RYasUpyiaU2rUKPUTNoKCNR744Sa42aQ6iC4A==" saltValue="NU0Va4+mn9Q4wUtPsY0iWw==" spinCount="100000" sheet="1" objects="1" scenarios="1"/>
  <hyperlinks>
    <hyperlink ref="D18" r:id="rId1" xr:uid="{8E5AE1C9-1AFA-481A-8352-E81F0A7B209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EC05-12D6-4E4C-8753-2F1F7E2DCDDB}">
  <sheetPr>
    <pageSetUpPr fitToPage="1"/>
  </sheetPr>
  <dimension ref="A1:K47"/>
  <sheetViews>
    <sheetView showGridLines="0" zoomScaleNormal="100" workbookViewId="0">
      <selection activeCell="D3" sqref="D3"/>
    </sheetView>
  </sheetViews>
  <sheetFormatPr defaultColWidth="0" defaultRowHeight="14.25" zeroHeight="1" x14ac:dyDescent="0.45"/>
  <cols>
    <col min="1" max="1" width="32.265625" bestFit="1" customWidth="1"/>
    <col min="2" max="2" width="19.86328125" customWidth="1"/>
    <col min="3" max="3" width="14" customWidth="1"/>
    <col min="4" max="4" width="4.265625" customWidth="1"/>
    <col min="5" max="5" width="32.265625" customWidth="1"/>
    <col min="6" max="6" width="21.86328125" customWidth="1"/>
    <col min="7" max="7" width="12.86328125" customWidth="1"/>
    <col min="8" max="8" width="4.3984375" customWidth="1"/>
    <col min="9" max="9" width="32.265625" bestFit="1" customWidth="1"/>
    <col min="10" max="10" width="15.3984375" customWidth="1"/>
    <col min="11" max="11" width="12.86328125" customWidth="1"/>
    <col min="12" max="16384" width="9.1328125" hidden="1"/>
  </cols>
  <sheetData>
    <row r="1" spans="1:11" ht="18" x14ac:dyDescent="0.55000000000000004">
      <c r="A1" s="50" t="s">
        <v>212</v>
      </c>
      <c r="B1" s="44"/>
      <c r="C1" s="44"/>
      <c r="D1" s="44"/>
      <c r="E1" s="44"/>
      <c r="F1" s="44"/>
      <c r="G1" s="44"/>
      <c r="I1" s="44"/>
      <c r="J1" s="44"/>
      <c r="K1" s="44"/>
    </row>
    <row r="2" spans="1:11" x14ac:dyDescent="0.45">
      <c r="A2" s="381" t="s">
        <v>93</v>
      </c>
      <c r="B2" s="381"/>
      <c r="C2" s="381"/>
      <c r="D2" s="40"/>
      <c r="E2" s="381" t="s">
        <v>94</v>
      </c>
      <c r="F2" s="381"/>
      <c r="G2" s="381"/>
      <c r="I2" s="381" t="s">
        <v>398</v>
      </c>
      <c r="J2" s="381"/>
      <c r="K2" s="381"/>
    </row>
    <row r="3" spans="1:11" x14ac:dyDescent="0.45">
      <c r="A3" t="s">
        <v>95</v>
      </c>
      <c r="B3" s="48">
        <f>Dashboard_1!H6</f>
        <v>100</v>
      </c>
      <c r="E3" t="s">
        <v>95</v>
      </c>
      <c r="F3" s="48">
        <f>Dashboard_2!H6</f>
        <v>100</v>
      </c>
      <c r="I3" t="s">
        <v>391</v>
      </c>
      <c r="J3" s="353">
        <f>Dashboard_3!H6</f>
        <v>5</v>
      </c>
    </row>
    <row r="4" spans="1:11" x14ac:dyDescent="0.45">
      <c r="A4" t="s">
        <v>96</v>
      </c>
      <c r="B4" s="34" t="str">
        <f>IF(Dashboard_1!G7="Volume 250L","250L",IF(Dashboard_1!G7="Volume 25-50L","25-50L",IF(Dashboard_1!G7="Volume 75-100L","75-100L","select from drop down menu")))</f>
        <v>250L</v>
      </c>
      <c r="E4" t="s">
        <v>96</v>
      </c>
      <c r="F4" s="34" t="str">
        <f>IF(Dashboard_2!G7="Volume 250L","250L",IF(Dashboard_2!G7="Volume 25-50L","25-50L",IF(Dashboard_2!G7="Volume 75-100L","75-100L","select from drop down menu")))</f>
        <v>75-100L</v>
      </c>
      <c r="I4" t="s">
        <v>309</v>
      </c>
      <c r="J4" s="34" t="str">
        <f>Dashboard_3!G7</f>
        <v>Tubestock</v>
      </c>
    </row>
    <row r="5" spans="1:11" x14ac:dyDescent="0.45">
      <c r="A5" t="s">
        <v>297</v>
      </c>
      <c r="B5" s="229">
        <f>Dashboard_1!H59</f>
        <v>30</v>
      </c>
      <c r="E5" t="s">
        <v>297</v>
      </c>
      <c r="F5" s="229">
        <f>Dashboard_2!H59</f>
        <v>30</v>
      </c>
      <c r="I5" t="s">
        <v>297</v>
      </c>
      <c r="J5" s="229">
        <f>Dashboard_3!H42</f>
        <v>30</v>
      </c>
    </row>
    <row r="6" spans="1:11" x14ac:dyDescent="0.45">
      <c r="B6" s="229"/>
      <c r="F6" s="229"/>
      <c r="I6" t="str">
        <f>IF(J4=Data_Lists!B20,Dashboard_3!G7&amp;" density"," ")</f>
        <v>Tubestock density</v>
      </c>
      <c r="J6" s="229">
        <f>IF(I6=" "," ",Dashboard_3!H8)</f>
        <v>1000</v>
      </c>
    </row>
    <row r="7" spans="1:11" x14ac:dyDescent="0.45">
      <c r="A7" s="53" t="s">
        <v>163</v>
      </c>
      <c r="B7" s="182" t="s">
        <v>213</v>
      </c>
      <c r="C7" s="54"/>
      <c r="D7" s="181"/>
      <c r="E7" s="53" t="s">
        <v>163</v>
      </c>
      <c r="F7" s="182" t="s">
        <v>213</v>
      </c>
      <c r="G7" s="54"/>
      <c r="I7" s="53" t="s">
        <v>163</v>
      </c>
      <c r="J7" s="182" t="s">
        <v>213</v>
      </c>
      <c r="K7" s="54"/>
    </row>
    <row r="8" spans="1:11" x14ac:dyDescent="0.45">
      <c r="A8" t="s">
        <v>97</v>
      </c>
      <c r="B8" s="274">
        <f>Model_1!B16</f>
        <v>38009.756523781332</v>
      </c>
      <c r="C8" s="42"/>
      <c r="E8" t="s">
        <v>97</v>
      </c>
      <c r="F8" s="274">
        <f>Model_2!B16</f>
        <v>22554.446377960332</v>
      </c>
      <c r="G8" s="42"/>
      <c r="I8" t="s">
        <v>97</v>
      </c>
      <c r="J8" s="274">
        <f>Model_3!B41</f>
        <v>21340</v>
      </c>
      <c r="K8" s="42"/>
    </row>
    <row r="9" spans="1:11" x14ac:dyDescent="0.45">
      <c r="A9" t="s">
        <v>98</v>
      </c>
      <c r="B9" s="274">
        <f>AVERAGE(Model_1!B35:AF35)</f>
        <v>7852.9892473118289</v>
      </c>
      <c r="C9" s="42"/>
      <c r="E9" t="s">
        <v>98</v>
      </c>
      <c r="F9" s="274">
        <f>AVERAGE(Model_2!B35:AF35)</f>
        <v>5515.8548387096771</v>
      </c>
      <c r="G9" s="42"/>
      <c r="I9" t="s">
        <v>98</v>
      </c>
      <c r="J9" s="274">
        <f>AVERAGE(Model_3!B25:AY25)</f>
        <v>380.45739759333014</v>
      </c>
      <c r="K9" s="42"/>
    </row>
    <row r="10" spans="1:11" x14ac:dyDescent="0.45">
      <c r="A10" t="s">
        <v>99</v>
      </c>
      <c r="B10" s="274">
        <f>AVERAGE(Model_1!B43:AF43)</f>
        <v>1980.8269630429672</v>
      </c>
      <c r="C10" s="42"/>
      <c r="E10" t="s">
        <v>99</v>
      </c>
      <c r="F10" s="274">
        <f>AVERAGE(Model_2!B43:AF43)</f>
        <v>4738.3460444607172</v>
      </c>
      <c r="G10" s="42"/>
      <c r="I10" t="s">
        <v>99</v>
      </c>
      <c r="J10" s="274">
        <f>AVERAGE(Model_3!B34:AY34)</f>
        <v>802.61932803686489</v>
      </c>
      <c r="K10" s="42"/>
    </row>
    <row r="11" spans="1:11" x14ac:dyDescent="0.45">
      <c r="B11" s="42"/>
      <c r="C11" s="42"/>
      <c r="F11" s="42"/>
      <c r="G11" s="42"/>
      <c r="J11" s="42"/>
      <c r="K11" s="42"/>
    </row>
    <row r="12" spans="1:11" x14ac:dyDescent="0.45">
      <c r="A12" s="53" t="s">
        <v>394</v>
      </c>
      <c r="B12" s="182" t="s">
        <v>213</v>
      </c>
      <c r="C12" s="182" t="s">
        <v>214</v>
      </c>
      <c r="E12" s="53" t="s">
        <v>394</v>
      </c>
      <c r="F12" s="182" t="s">
        <v>213</v>
      </c>
      <c r="G12" s="182" t="s">
        <v>214</v>
      </c>
      <c r="I12" s="53" t="s">
        <v>394</v>
      </c>
      <c r="J12" s="182" t="s">
        <v>213</v>
      </c>
      <c r="K12" s="182" t="s">
        <v>214</v>
      </c>
    </row>
    <row r="13" spans="1:11" x14ac:dyDescent="0.45">
      <c r="A13" s="41" t="str">
        <f>Model_1!A49</f>
        <v>Establishment</v>
      </c>
      <c r="B13" s="274">
        <f>Model_1!B49</f>
        <v>38009.756523781332</v>
      </c>
      <c r="C13" s="277">
        <f>Model_1!C49</f>
        <v>0.20768856786542225</v>
      </c>
      <c r="D13" s="38"/>
      <c r="E13" t="str">
        <f>Model_1!A49</f>
        <v>Establishment</v>
      </c>
      <c r="F13" s="274">
        <f>Model_2!B49</f>
        <v>58167.357103368318</v>
      </c>
      <c r="G13" s="277">
        <f>Model_2!C49</f>
        <v>0.30136875027981286</v>
      </c>
      <c r="I13" t="str">
        <f>Model_1!A49</f>
        <v>Establishment</v>
      </c>
      <c r="J13" s="274">
        <f>Model_3!B41</f>
        <v>21340</v>
      </c>
      <c r="K13" s="277">
        <f>Model_3!C41</f>
        <v>0.6753709491352522</v>
      </c>
    </row>
    <row r="14" spans="1:11" x14ac:dyDescent="0.45">
      <c r="A14" s="41" t="str">
        <f>Model_1!A50</f>
        <v>Inspections and maintenance</v>
      </c>
      <c r="B14" s="274">
        <f>Model_1!B50</f>
        <v>117866.54298166721</v>
      </c>
      <c r="C14" s="277">
        <f>Model_1!C50</f>
        <v>0.64403289444368683</v>
      </c>
      <c r="D14" s="38"/>
      <c r="E14" t="str">
        <f>Model_1!A50</f>
        <v>Inspections and maintenance</v>
      </c>
      <c r="F14" s="274">
        <f>Model_2!B50</f>
        <v>81746.488196856648</v>
      </c>
      <c r="G14" s="277">
        <f>Model_2!C50</f>
        <v>0.42353371744001012</v>
      </c>
      <c r="I14" t="str">
        <f>Model_1!A50</f>
        <v>Inspections and maintenance</v>
      </c>
      <c r="J14" s="274">
        <f>Model_3!B42</f>
        <v>8176.7330202385292</v>
      </c>
      <c r="K14" s="277">
        <f>Model_3!C42</f>
        <v>0.25877825401612242</v>
      </c>
    </row>
    <row r="15" spans="1:11" x14ac:dyDescent="0.45">
      <c r="A15" s="41" t="str">
        <f>Model_1!A51</f>
        <v>Net mortality</v>
      </c>
      <c r="B15" s="275">
        <f>Model_1!B51</f>
        <v>27136.934754083923</v>
      </c>
      <c r="C15" s="277">
        <f>Model_1!C51</f>
        <v>0.14827853769089086</v>
      </c>
      <c r="D15" s="38"/>
      <c r="E15" t="str">
        <f>Model_1!A51</f>
        <v>Net mortality</v>
      </c>
      <c r="F15" s="275">
        <f>Model_2!B51</f>
        <v>53096.734095818836</v>
      </c>
      <c r="G15" s="277">
        <f>Model_2!C51</f>
        <v>0.27509753228017708</v>
      </c>
      <c r="I15" t="str">
        <f>Model_1!A51</f>
        <v>Net mortality</v>
      </c>
      <c r="J15" s="274">
        <f>Model_3!B43</f>
        <v>2080.7172807017541</v>
      </c>
      <c r="K15" s="277">
        <f>Model_3!C43</f>
        <v>6.585079684862534E-2</v>
      </c>
    </row>
    <row r="16" spans="1:11" ht="14.65" thickBot="1" x14ac:dyDescent="0.5">
      <c r="A16" s="86" t="str">
        <f>Model_1!A52</f>
        <v>Total life cycle costs</v>
      </c>
      <c r="B16" s="276">
        <f>SUM(B13:B15)</f>
        <v>183013.23425953247</v>
      </c>
      <c r="C16" s="278">
        <f>SUM(C13:C15)</f>
        <v>0.99999999999999989</v>
      </c>
      <c r="D16" s="38"/>
      <c r="E16" s="85" t="str">
        <f>Model_1!A52</f>
        <v>Total life cycle costs</v>
      </c>
      <c r="F16" s="276">
        <f>SUM(F13:F15)</f>
        <v>193010.57939604379</v>
      </c>
      <c r="G16" s="278">
        <f>SUM(C13:C15)</f>
        <v>0.99999999999999989</v>
      </c>
      <c r="I16" s="85" t="str">
        <f>Model_1!A52</f>
        <v>Total life cycle costs</v>
      </c>
      <c r="J16" s="276">
        <f>SUM(J13:J15)</f>
        <v>31597.450300940283</v>
      </c>
      <c r="K16" s="278">
        <f>SUM(C13:C15)</f>
        <v>0.99999999999999989</v>
      </c>
    </row>
    <row r="17" spans="2:2" ht="14.65" thickTop="1" x14ac:dyDescent="0.45">
      <c r="B17" s="49"/>
    </row>
    <row r="18" spans="2:2" x14ac:dyDescent="0.45"/>
    <row r="19" spans="2:2" x14ac:dyDescent="0.45"/>
    <row r="20" spans="2:2" x14ac:dyDescent="0.45">
      <c r="B20" s="30"/>
    </row>
    <row r="21" spans="2:2" x14ac:dyDescent="0.45"/>
    <row r="22" spans="2:2" x14ac:dyDescent="0.45"/>
    <row r="23" spans="2:2" x14ac:dyDescent="0.45"/>
    <row r="24" spans="2:2" x14ac:dyDescent="0.45"/>
    <row r="25" spans="2:2" x14ac:dyDescent="0.45"/>
    <row r="26" spans="2:2" x14ac:dyDescent="0.45"/>
    <row r="27" spans="2:2" x14ac:dyDescent="0.45"/>
    <row r="28" spans="2:2" x14ac:dyDescent="0.45"/>
    <row r="29" spans="2:2" x14ac:dyDescent="0.45"/>
    <row r="30" spans="2:2" x14ac:dyDescent="0.45"/>
    <row r="31" spans="2:2" x14ac:dyDescent="0.45"/>
    <row r="32" spans="2:2" x14ac:dyDescent="0.45"/>
    <row r="33" spans="1:11" x14ac:dyDescent="0.45"/>
    <row r="34" spans="1:11" ht="18" x14ac:dyDescent="0.55000000000000004">
      <c r="A34" s="50" t="s">
        <v>393</v>
      </c>
      <c r="B34" s="44"/>
      <c r="C34" s="44"/>
      <c r="D34" s="44"/>
      <c r="E34" s="44"/>
      <c r="F34" s="44"/>
      <c r="G34" s="44"/>
      <c r="H34" s="44"/>
      <c r="I34" s="44"/>
      <c r="J34" s="44"/>
      <c r="K34" s="44"/>
    </row>
    <row r="35" spans="1:11" x14ac:dyDescent="0.45">
      <c r="A35" s="381" t="s">
        <v>93</v>
      </c>
      <c r="B35" s="381"/>
      <c r="C35" s="381"/>
      <c r="D35" s="40"/>
      <c r="E35" s="381" t="s">
        <v>94</v>
      </c>
      <c r="F35" s="381"/>
      <c r="G35" s="381"/>
      <c r="I35" s="381" t="s">
        <v>389</v>
      </c>
      <c r="J35" s="381"/>
      <c r="K35" s="381"/>
    </row>
    <row r="36" spans="1:11" x14ac:dyDescent="0.45"/>
    <row r="37" spans="1:11" x14ac:dyDescent="0.45">
      <c r="A37" s="53" t="str">
        <f>A7</f>
        <v>Aggregated costs</v>
      </c>
      <c r="B37" s="53" t="str">
        <f>B7</f>
        <v>Cost ($)</v>
      </c>
      <c r="C37" s="53"/>
      <c r="E37" s="53" t="str">
        <f>A7</f>
        <v>Aggregated costs</v>
      </c>
      <c r="F37" s="53" t="str">
        <f>F7</f>
        <v>Cost ($)</v>
      </c>
      <c r="G37" s="53"/>
      <c r="I37" s="53" t="str">
        <f>A7</f>
        <v>Aggregated costs</v>
      </c>
      <c r="J37" s="53" t="str">
        <f>F7</f>
        <v>Cost ($)</v>
      </c>
      <c r="K37" s="53"/>
    </row>
    <row r="38" spans="1:11" x14ac:dyDescent="0.45">
      <c r="A38" t="str">
        <f>A8</f>
        <v>Establishment cost (undiscounted)</v>
      </c>
      <c r="B38" s="31">
        <f>B8/$B$3</f>
        <v>380.09756523781334</v>
      </c>
      <c r="C38" s="233"/>
      <c r="E38" t="str">
        <f>A8</f>
        <v>Establishment cost (undiscounted)</v>
      </c>
      <c r="F38" s="31">
        <f>F8/$F$3</f>
        <v>225.54446377960332</v>
      </c>
      <c r="G38" s="233"/>
      <c r="I38" t="str">
        <f>A8</f>
        <v>Establishment cost (undiscounted)</v>
      </c>
      <c r="J38" s="31">
        <f>J8/$J$3</f>
        <v>4268</v>
      </c>
      <c r="K38" s="233"/>
    </row>
    <row r="39" spans="1:11" x14ac:dyDescent="0.45">
      <c r="A39" t="str">
        <f>A9</f>
        <v>Average annual maintenance costs</v>
      </c>
      <c r="B39" s="31">
        <f>B9/$B$3</f>
        <v>78.529892473118295</v>
      </c>
      <c r="C39" s="233"/>
      <c r="E39" t="str">
        <f>A9</f>
        <v>Average annual maintenance costs</v>
      </c>
      <c r="F39" s="31">
        <f>F9/$F$3</f>
        <v>55.158548387096772</v>
      </c>
      <c r="G39" s="233"/>
      <c r="I39" t="str">
        <f>A9</f>
        <v>Average annual maintenance costs</v>
      </c>
      <c r="J39" s="31">
        <f t="shared" ref="J39:J40" si="0">J9/$J$3</f>
        <v>76.091479518666034</v>
      </c>
      <c r="K39" s="233"/>
    </row>
    <row r="40" spans="1:11" x14ac:dyDescent="0.45">
      <c r="A40" t="str">
        <f>A10</f>
        <v>Average annual net mortality costs</v>
      </c>
      <c r="B40" s="31">
        <f>B10/$B$3</f>
        <v>19.808269630429674</v>
      </c>
      <c r="C40" s="233"/>
      <c r="E40" t="str">
        <f>A10</f>
        <v>Average annual net mortality costs</v>
      </c>
      <c r="F40" s="31">
        <f>F10/$F$3</f>
        <v>47.383460444607174</v>
      </c>
      <c r="G40" s="233"/>
      <c r="I40" t="str">
        <f>A10</f>
        <v>Average annual net mortality costs</v>
      </c>
      <c r="J40" s="31">
        <f t="shared" si="0"/>
        <v>160.52386560737298</v>
      </c>
      <c r="K40" s="233"/>
    </row>
    <row r="41" spans="1:11" x14ac:dyDescent="0.45">
      <c r="A41" t="str">
        <f>A5</f>
        <v>Appraisal period (years)</v>
      </c>
      <c r="B41">
        <f>B5</f>
        <v>30</v>
      </c>
      <c r="C41" s="233"/>
      <c r="E41" t="str">
        <f>A5</f>
        <v>Appraisal period (years)</v>
      </c>
      <c r="F41" s="84">
        <f>F5</f>
        <v>30</v>
      </c>
      <c r="G41" s="233"/>
      <c r="I41" t="str">
        <f>A5</f>
        <v>Appraisal period (years)</v>
      </c>
      <c r="J41" s="84">
        <f>J5</f>
        <v>30</v>
      </c>
      <c r="K41" s="233"/>
    </row>
    <row r="42" spans="1:11" x14ac:dyDescent="0.45">
      <c r="A42" s="53" t="str">
        <f>A12</f>
        <v>Life cycle costs (total project)</v>
      </c>
      <c r="B42" s="53" t="str">
        <f>B12</f>
        <v>Cost ($)</v>
      </c>
      <c r="C42" s="53"/>
      <c r="E42" s="53" t="str">
        <f>A12</f>
        <v>Life cycle costs (total project)</v>
      </c>
      <c r="F42" s="53" t="str">
        <f>F12</f>
        <v>Cost ($)</v>
      </c>
      <c r="G42" s="53"/>
      <c r="I42" s="53" t="str">
        <f>A12</f>
        <v>Life cycle costs (total project)</v>
      </c>
      <c r="J42" s="53" t="str">
        <f>F12</f>
        <v>Cost ($)</v>
      </c>
      <c r="K42" s="53"/>
    </row>
    <row r="43" spans="1:11" x14ac:dyDescent="0.45">
      <c r="A43" s="41" t="str">
        <f>A13</f>
        <v>Establishment</v>
      </c>
      <c r="B43" s="31">
        <f>B13/$B$3</f>
        <v>380.09756523781334</v>
      </c>
      <c r="C43" s="232"/>
      <c r="E43" s="41" t="str">
        <f>A13</f>
        <v>Establishment</v>
      </c>
      <c r="F43" s="31">
        <f>F13/$F$3</f>
        <v>581.67357103368317</v>
      </c>
      <c r="G43" s="232"/>
      <c r="I43" s="41" t="str">
        <f>A13</f>
        <v>Establishment</v>
      </c>
      <c r="J43" s="31">
        <f>J13/$J$3</f>
        <v>4268</v>
      </c>
      <c r="K43" s="232"/>
    </row>
    <row r="44" spans="1:11" x14ac:dyDescent="0.45">
      <c r="A44" s="41" t="str">
        <f>A14</f>
        <v>Inspections and maintenance</v>
      </c>
      <c r="B44" s="31">
        <f>B14/$B$3</f>
        <v>1178.665429816672</v>
      </c>
      <c r="C44" s="232"/>
      <c r="E44" s="41" t="str">
        <f>A14</f>
        <v>Inspections and maintenance</v>
      </c>
      <c r="F44" s="31">
        <f>F14/$F$3</f>
        <v>817.46488196856649</v>
      </c>
      <c r="G44" s="232"/>
      <c r="I44" s="41" t="str">
        <f>A14</f>
        <v>Inspections and maintenance</v>
      </c>
      <c r="J44" s="31">
        <f>J14/$J$3</f>
        <v>1635.3466040477058</v>
      </c>
      <c r="K44" s="232"/>
    </row>
    <row r="45" spans="1:11" x14ac:dyDescent="0.45">
      <c r="A45" s="41" t="str">
        <f>A15</f>
        <v>Net mortality</v>
      </c>
      <c r="B45" s="230">
        <f>B15/$B$3</f>
        <v>271.36934754083921</v>
      </c>
      <c r="C45" s="232"/>
      <c r="E45" s="41" t="str">
        <f>A15</f>
        <v>Net mortality</v>
      </c>
      <c r="F45" s="230">
        <f>F15/$F$3</f>
        <v>530.9673409581884</v>
      </c>
      <c r="G45" s="232"/>
      <c r="I45" s="41" t="str">
        <f>A15</f>
        <v>Net mortality</v>
      </c>
      <c r="J45" s="230">
        <f>J15/$J$3</f>
        <v>416.14345614035085</v>
      </c>
      <c r="K45" s="232"/>
    </row>
    <row r="46" spans="1:11" ht="14.65" thickBot="1" x14ac:dyDescent="0.5">
      <c r="A46" s="86" t="str">
        <f>A16</f>
        <v>Total life cycle costs</v>
      </c>
      <c r="B46" s="231">
        <f>B16/$B$3</f>
        <v>1830.1323425953246</v>
      </c>
      <c r="C46" s="231"/>
      <c r="E46" s="86" t="str">
        <f>A16</f>
        <v>Total life cycle costs</v>
      </c>
      <c r="F46" s="231">
        <f>F16/$F$3</f>
        <v>1930.1057939604379</v>
      </c>
      <c r="G46" s="231"/>
      <c r="I46" s="86" t="str">
        <f>A16</f>
        <v>Total life cycle costs</v>
      </c>
      <c r="J46" s="231">
        <f>J16/$J$3</f>
        <v>6319.4900601880563</v>
      </c>
      <c r="K46" s="231"/>
    </row>
    <row r="47" spans="1:11" ht="14.65" thickTop="1" x14ac:dyDescent="0.45"/>
  </sheetData>
  <sheetProtection algorithmName="SHA-512" hashValue="smLybBcb4vFNPhKfsWzkzv8F6kmXgnHg4dElhlCrc+QppW9V6BYRPVVseUk5ai8DfunqKFirnT0RyNaScuEAcQ==" saltValue="z2IlNQIKuUmp2qiJ1lBU0g==" spinCount="100000" sheet="1" formatColumns="0" formatRows="0"/>
  <mergeCells count="6">
    <mergeCell ref="E2:G2"/>
    <mergeCell ref="A2:C2"/>
    <mergeCell ref="A35:C35"/>
    <mergeCell ref="E35:G35"/>
    <mergeCell ref="I2:K2"/>
    <mergeCell ref="I35:K35"/>
  </mergeCells>
  <pageMargins left="0.7" right="0.7" top="0.75" bottom="0.75" header="0.3" footer="0.3"/>
  <pageSetup scale="73" orientation="portrait" r:id="rId1"/>
  <ignoredErrors>
    <ignoredError sqref="A41 I41 E41"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ACB-D5A1-49FF-995B-6C911C2CBD47}">
  <sheetPr>
    <tabColor rgb="FF38AC98"/>
  </sheetPr>
  <dimension ref="A1:Y107"/>
  <sheetViews>
    <sheetView showGridLines="0" zoomScaleNormal="100" workbookViewId="0">
      <selection activeCell="L29" sqref="B1:L1048576"/>
    </sheetView>
  </sheetViews>
  <sheetFormatPr defaultColWidth="0" defaultRowHeight="14.25" zeroHeight="1" x14ac:dyDescent="0.45"/>
  <cols>
    <col min="1" max="1" width="3" bestFit="1" customWidth="1"/>
    <col min="2" max="2" width="52.73046875" customWidth="1"/>
    <col min="3" max="3" width="8.3984375" hidden="1" customWidth="1"/>
    <col min="4" max="4" width="9.1328125" hidden="1" customWidth="1"/>
    <col min="5" max="5" width="10.73046875" hidden="1" customWidth="1"/>
    <col min="6" max="6" width="11" hidden="1" customWidth="1"/>
    <col min="7" max="7" width="9.86328125" hidden="1" customWidth="1"/>
    <col min="8" max="8" width="8.73046875" hidden="1" customWidth="1"/>
    <col min="9" max="9" width="9" hidden="1" customWidth="1"/>
    <col min="10" max="10" width="4.3984375" hidden="1" customWidth="1"/>
    <col min="11" max="11" width="2.3984375" hidden="1" customWidth="1"/>
    <col min="12" max="12" width="14.3984375" customWidth="1"/>
    <col min="13" max="13" width="16.86328125" customWidth="1"/>
    <col min="14" max="14" width="15.73046875" customWidth="1"/>
    <col min="15" max="15" width="7.3984375" customWidth="1"/>
    <col min="16" max="25" width="7.3984375" hidden="1" customWidth="1"/>
    <col min="26" max="16384" width="7.3984375" hidden="1"/>
  </cols>
  <sheetData>
    <row r="1" spans="4:8" x14ac:dyDescent="0.45"/>
    <row r="2" spans="4:8" x14ac:dyDescent="0.45"/>
    <row r="3" spans="4:8" x14ac:dyDescent="0.45"/>
    <row r="4" spans="4:8" x14ac:dyDescent="0.45"/>
    <row r="5" spans="4:8" x14ac:dyDescent="0.45"/>
    <row r="6" spans="4:8" x14ac:dyDescent="0.45"/>
    <row r="7" spans="4:8" x14ac:dyDescent="0.45"/>
    <row r="8" spans="4:8" x14ac:dyDescent="0.45"/>
    <row r="9" spans="4:8" x14ac:dyDescent="0.45"/>
    <row r="10" spans="4:8" x14ac:dyDescent="0.45">
      <c r="D10" s="72"/>
      <c r="E10" s="72"/>
      <c r="F10" s="72"/>
      <c r="G10" s="72"/>
      <c r="H10" s="72"/>
    </row>
    <row r="11" spans="4:8" x14ac:dyDescent="0.45">
      <c r="D11" s="72"/>
      <c r="E11" s="72"/>
      <c r="F11" s="72"/>
      <c r="G11" s="72"/>
      <c r="H11" s="72"/>
    </row>
    <row r="12" spans="4:8" x14ac:dyDescent="0.45">
      <c r="D12" s="72"/>
      <c r="E12" s="72"/>
      <c r="F12" s="72"/>
      <c r="G12" s="72"/>
      <c r="H12" s="72"/>
    </row>
    <row r="13" spans="4:8" x14ac:dyDescent="0.45">
      <c r="D13" s="72"/>
      <c r="E13" s="72"/>
      <c r="F13" s="72"/>
      <c r="G13" s="72"/>
      <c r="H13" s="72"/>
    </row>
    <row r="14" spans="4:8" x14ac:dyDescent="0.45">
      <c r="D14" s="72"/>
      <c r="E14" s="72"/>
      <c r="F14" s="72"/>
      <c r="G14" s="72"/>
      <c r="H14" s="72"/>
    </row>
    <row r="15" spans="4:8" x14ac:dyDescent="0.45">
      <c r="D15" s="72"/>
      <c r="E15" s="72"/>
      <c r="F15" s="72"/>
      <c r="G15" s="72"/>
      <c r="H15" s="72"/>
    </row>
    <row r="16" spans="4:8" x14ac:dyDescent="0.45">
      <c r="D16" s="72"/>
      <c r="E16" s="72"/>
      <c r="F16" s="72"/>
      <c r="G16" s="72"/>
      <c r="H16" s="72"/>
    </row>
    <row r="17" spans="1:25" ht="14.65" thickBot="1" x14ac:dyDescent="0.5">
      <c r="C17" s="380" t="str">
        <f>Input_Data!C3</f>
        <v>Volume 25-50L</v>
      </c>
      <c r="D17" s="380"/>
      <c r="E17" s="380"/>
      <c r="F17" s="380"/>
      <c r="G17" s="380"/>
      <c r="H17" s="380"/>
      <c r="I17" s="380"/>
      <c r="J17" s="380"/>
      <c r="L17" s="380" t="str">
        <f>C17</f>
        <v>Volume 25-50L</v>
      </c>
      <c r="M17" s="380"/>
      <c r="N17" s="380"/>
      <c r="O17" s="131"/>
      <c r="P17" s="131"/>
      <c r="Q17" s="131"/>
      <c r="R17" s="131"/>
      <c r="S17" s="131"/>
      <c r="T17" s="123"/>
      <c r="U17" s="123"/>
      <c r="V17" s="123"/>
      <c r="W17" s="123"/>
      <c r="X17" s="123"/>
      <c r="Y17" s="123"/>
    </row>
    <row r="18" spans="1:25" ht="14.65" hidden="1" thickBot="1" x14ac:dyDescent="0.5">
      <c r="B18">
        <v>1</v>
      </c>
      <c r="C18" s="75">
        <v>2</v>
      </c>
      <c r="D18" s="75">
        <v>3</v>
      </c>
      <c r="E18" s="75">
        <v>4</v>
      </c>
      <c r="F18" s="75">
        <v>5</v>
      </c>
      <c r="G18" s="75">
        <v>6</v>
      </c>
      <c r="H18" s="75">
        <v>7</v>
      </c>
      <c r="I18" s="75">
        <v>8</v>
      </c>
      <c r="J18" s="75">
        <v>9</v>
      </c>
      <c r="K18" s="68">
        <v>10</v>
      </c>
      <c r="L18" s="68">
        <v>11</v>
      </c>
      <c r="M18" s="68">
        <v>12</v>
      </c>
      <c r="N18" s="68">
        <v>13</v>
      </c>
      <c r="O18" s="132"/>
      <c r="P18" s="132"/>
      <c r="Q18" s="132"/>
      <c r="R18" s="132"/>
      <c r="S18" s="132"/>
      <c r="T18" s="113"/>
      <c r="U18" s="68">
        <v>14</v>
      </c>
      <c r="V18" s="68">
        <v>15</v>
      </c>
      <c r="W18" s="68">
        <v>16</v>
      </c>
      <c r="X18" s="68">
        <v>17</v>
      </c>
      <c r="Y18" s="68">
        <v>18</v>
      </c>
    </row>
    <row r="19" spans="1:25" ht="14.65" thickBot="1" x14ac:dyDescent="0.5">
      <c r="B19" s="369" t="str">
        <f>Input_Data!B5</f>
        <v>Item/Activity</v>
      </c>
      <c r="C19" s="2" t="s">
        <v>2</v>
      </c>
      <c r="D19" s="2" t="s">
        <v>3</v>
      </c>
      <c r="E19" s="2" t="s">
        <v>4</v>
      </c>
      <c r="F19" s="2" t="s">
        <v>5</v>
      </c>
      <c r="G19" s="2" t="s">
        <v>6</v>
      </c>
      <c r="H19" s="2" t="s">
        <v>7</v>
      </c>
      <c r="I19" s="2" t="s">
        <v>8</v>
      </c>
      <c r="J19" s="2" t="s">
        <v>0</v>
      </c>
      <c r="L19" s="2" t="s">
        <v>104</v>
      </c>
      <c r="M19" s="2" t="s">
        <v>117</v>
      </c>
      <c r="N19" s="2" t="s">
        <v>118</v>
      </c>
      <c r="O19" s="129"/>
      <c r="P19" s="129"/>
      <c r="Q19" s="129"/>
      <c r="R19" s="129"/>
      <c r="S19" s="129"/>
      <c r="T19" s="120"/>
      <c r="U19" s="87" t="s">
        <v>3</v>
      </c>
      <c r="V19" s="87" t="s">
        <v>4</v>
      </c>
      <c r="W19" s="87" t="s">
        <v>6</v>
      </c>
      <c r="X19" s="87" t="s">
        <v>7</v>
      </c>
      <c r="Y19" s="87" t="s">
        <v>0</v>
      </c>
    </row>
    <row r="20" spans="1:25" x14ac:dyDescent="0.45">
      <c r="A20">
        <v>1</v>
      </c>
      <c r="B20" s="370" t="str">
        <f>Input_Data!B6</f>
        <v>Concrete cutting ($)</v>
      </c>
      <c r="C20" s="272">
        <f>IF(L20&gt;0.00000001,L20,0)</f>
        <v>1000</v>
      </c>
      <c r="D20" s="272">
        <f>IF(U20&gt;0.00000001,U20,0)</f>
        <v>1050</v>
      </c>
      <c r="E20" s="272">
        <f>IF(V20&gt;0.00000001,V20,0)</f>
        <v>1250</v>
      </c>
      <c r="F20" s="272">
        <f>IF(M20&gt;0.00000001,M20,0)</f>
        <v>1500</v>
      </c>
      <c r="G20" s="272">
        <f>IF(W20&gt;0.00000001,W20,0)</f>
        <v>1650</v>
      </c>
      <c r="H20" s="272">
        <f>IF(N20&gt;0.00000001,X20,0)</f>
        <v>1770</v>
      </c>
      <c r="I20" s="272">
        <f>IF(N20&gt;0.00000001,N20,0)</f>
        <v>1800</v>
      </c>
      <c r="J20" s="273">
        <f>IF(Y20&gt;0.00000001,X20,0)</f>
        <v>0</v>
      </c>
      <c r="K20" s="30"/>
      <c r="L20" s="69">
        <v>1000</v>
      </c>
      <c r="M20" s="69">
        <v>1500</v>
      </c>
      <c r="N20" s="69">
        <v>1800</v>
      </c>
      <c r="O20" s="89"/>
      <c r="P20" s="89"/>
      <c r="Q20" s="89"/>
      <c r="R20" s="89"/>
      <c r="S20" s="89"/>
      <c r="T20" s="121"/>
      <c r="U20" s="88">
        <f>IF(M20&gt;1,_xlfn.PERCENTILE.INC(L20:N20,0.05),0)</f>
        <v>1050</v>
      </c>
      <c r="V20" s="88">
        <f>IF(M20&gt;1,_xlfn.PERCENTILE.INC(L20:N20,0.25),0)</f>
        <v>1250</v>
      </c>
      <c r="W20" s="88">
        <f>IF(M20&gt;1,_xlfn.PERCENTILE.INC(L20:N20,0.75),0)</f>
        <v>1650</v>
      </c>
      <c r="X20" s="88">
        <f>IF(M20&gt;1,_xlfn.PERCENTILE.INC(L20:N20,0.95),0)</f>
        <v>1770</v>
      </c>
      <c r="Y20" s="88">
        <v>0</v>
      </c>
    </row>
    <row r="21" spans="1:25" x14ac:dyDescent="0.45">
      <c r="A21">
        <v>2</v>
      </c>
      <c r="B21" s="370" t="str">
        <f>Input_Data!B7</f>
        <v>Supply ($)</v>
      </c>
      <c r="C21" s="273">
        <f t="shared" ref="C21:C36" si="0">IF(L21&gt;0.00000001,L21,0)</f>
        <v>150</v>
      </c>
      <c r="D21" s="273">
        <f t="shared" ref="D21:D36" si="1">IF(U21&gt;0.00000001,U21,0)</f>
        <v>150</v>
      </c>
      <c r="E21" s="273">
        <f t="shared" ref="E21:E36" si="2">IF(V21&gt;0.00000001,V21,0)</f>
        <v>150</v>
      </c>
      <c r="F21" s="273">
        <f t="shared" ref="F21:F36" si="3">IF(M21&gt;0.00000001,M21,0)</f>
        <v>150</v>
      </c>
      <c r="G21" s="273">
        <f t="shared" ref="G21:G36" si="4">IF(W21&gt;0.00000001,W21,0)</f>
        <v>150</v>
      </c>
      <c r="H21" s="273">
        <f t="shared" ref="H21:H36" si="5">IF(X21&gt;0.00000001,X21,0)</f>
        <v>150</v>
      </c>
      <c r="I21" s="273">
        <f t="shared" ref="I21:I36" si="6">IF(N21&gt;0.00000001,N21,0)</f>
        <v>150</v>
      </c>
      <c r="J21" s="273">
        <f t="shared" ref="J21:J36" si="7">IF(Y21&gt;0.00000001,X21,0)</f>
        <v>0</v>
      </c>
      <c r="K21" s="30"/>
      <c r="L21" s="69">
        <v>150</v>
      </c>
      <c r="M21" s="69">
        <v>150</v>
      </c>
      <c r="N21" s="69">
        <v>150</v>
      </c>
      <c r="O21" s="89"/>
      <c r="P21" s="89"/>
      <c r="Q21" s="89"/>
      <c r="R21" s="89"/>
      <c r="S21" s="89"/>
      <c r="T21" s="121"/>
      <c r="U21" s="88">
        <f t="shared" ref="U21:U36" si="8">IF(M21&gt;1,_xlfn.PERCENTILE.INC(L21:N21,0.05),0)</f>
        <v>150</v>
      </c>
      <c r="V21" s="88">
        <f t="shared" ref="V21:V36" si="9">IF(M21&gt;1,_xlfn.PERCENTILE.INC(L21:N21,0.25),0)</f>
        <v>150</v>
      </c>
      <c r="W21" s="88">
        <f t="shared" ref="W21:W36" si="10">IF(M21&gt;1,_xlfn.PERCENTILE.INC(L21:N21,0.75),0)</f>
        <v>150</v>
      </c>
      <c r="X21" s="88">
        <f t="shared" ref="X21:X36" si="11">IF(M21&gt;1,_xlfn.PERCENTILE.INC(L21:N21,0.95),0)</f>
        <v>150</v>
      </c>
      <c r="Y21" s="88">
        <v>0</v>
      </c>
    </row>
    <row r="22" spans="1:25" x14ac:dyDescent="0.45">
      <c r="A22">
        <v>3</v>
      </c>
      <c r="B22" s="370" t="str">
        <f>Input_Data!B8</f>
        <v>Tree installation ($)</v>
      </c>
      <c r="C22" s="3">
        <f t="shared" si="0"/>
        <v>0</v>
      </c>
      <c r="D22" s="3">
        <f>IF(U22&gt;0.00000001,U22,0)</f>
        <v>0</v>
      </c>
      <c r="E22" s="3">
        <f t="shared" si="2"/>
        <v>0</v>
      </c>
      <c r="F22" s="3">
        <f t="shared" si="3"/>
        <v>0</v>
      </c>
      <c r="G22" s="3">
        <f t="shared" si="4"/>
        <v>0</v>
      </c>
      <c r="H22" s="3">
        <f t="shared" si="5"/>
        <v>0</v>
      </c>
      <c r="I22" s="3">
        <f t="shared" si="6"/>
        <v>0</v>
      </c>
      <c r="J22" s="3">
        <f t="shared" si="7"/>
        <v>0</v>
      </c>
      <c r="L22" s="69"/>
      <c r="M22" s="91"/>
      <c r="N22" s="92"/>
      <c r="O22" s="133"/>
      <c r="P22" s="133"/>
      <c r="Q22" s="133"/>
      <c r="R22" s="133"/>
      <c r="S22" s="133"/>
      <c r="T22" s="122"/>
      <c r="U22" s="88">
        <f t="shared" si="8"/>
        <v>0</v>
      </c>
      <c r="V22" s="88">
        <f t="shared" si="9"/>
        <v>0</v>
      </c>
      <c r="W22" s="88">
        <f t="shared" si="10"/>
        <v>0</v>
      </c>
      <c r="X22" s="88">
        <f t="shared" si="11"/>
        <v>0</v>
      </c>
      <c r="Y22" s="88">
        <v>0</v>
      </c>
    </row>
    <row r="23" spans="1:25" x14ac:dyDescent="0.45">
      <c r="A23">
        <v>4</v>
      </c>
      <c r="B23" s="370" t="str">
        <f>Input_Data!B9</f>
        <v>Mulch cost ($/m3)</v>
      </c>
      <c r="C23" s="3">
        <f t="shared" si="0"/>
        <v>0</v>
      </c>
      <c r="D23" s="3">
        <f t="shared" si="1"/>
        <v>0</v>
      </c>
      <c r="E23" s="3">
        <f t="shared" si="2"/>
        <v>0</v>
      </c>
      <c r="F23" s="3">
        <f t="shared" si="3"/>
        <v>0</v>
      </c>
      <c r="G23" s="3">
        <f t="shared" si="4"/>
        <v>0</v>
      </c>
      <c r="H23" s="3">
        <f t="shared" si="5"/>
        <v>0</v>
      </c>
      <c r="I23" s="3">
        <f t="shared" si="6"/>
        <v>0</v>
      </c>
      <c r="J23" s="3">
        <f t="shared" si="7"/>
        <v>0</v>
      </c>
      <c r="L23" s="69"/>
      <c r="M23" s="91"/>
      <c r="N23" s="92"/>
      <c r="O23" s="133"/>
      <c r="P23" s="133"/>
      <c r="Q23" s="133"/>
      <c r="R23" s="133"/>
      <c r="S23" s="133"/>
      <c r="T23" s="122"/>
      <c r="U23" s="88">
        <f t="shared" si="8"/>
        <v>0</v>
      </c>
      <c r="V23" s="88">
        <f t="shared" si="9"/>
        <v>0</v>
      </c>
      <c r="W23" s="88">
        <f t="shared" si="10"/>
        <v>0</v>
      </c>
      <c r="X23" s="88">
        <f t="shared" si="11"/>
        <v>0</v>
      </c>
      <c r="Y23" s="88">
        <v>0</v>
      </c>
    </row>
    <row r="24" spans="1:25" x14ac:dyDescent="0.45">
      <c r="A24">
        <v>5</v>
      </c>
      <c r="B24" s="370" t="str">
        <f>Input_Data!B10</f>
        <v>Stakes and ties ($)</v>
      </c>
      <c r="C24" s="3">
        <f t="shared" si="0"/>
        <v>0</v>
      </c>
      <c r="D24" s="3">
        <f t="shared" si="1"/>
        <v>0</v>
      </c>
      <c r="E24" s="3">
        <f t="shared" si="2"/>
        <v>0</v>
      </c>
      <c r="F24" s="3">
        <f t="shared" si="3"/>
        <v>0</v>
      </c>
      <c r="G24" s="3">
        <f t="shared" si="4"/>
        <v>0</v>
      </c>
      <c r="H24" s="3">
        <f t="shared" si="5"/>
        <v>0</v>
      </c>
      <c r="I24" s="3">
        <f t="shared" si="6"/>
        <v>0</v>
      </c>
      <c r="J24" s="3">
        <f t="shared" si="7"/>
        <v>0</v>
      </c>
      <c r="L24" s="69"/>
      <c r="M24" s="91"/>
      <c r="N24" s="92"/>
      <c r="O24" s="133"/>
      <c r="P24" s="133"/>
      <c r="Q24" s="133"/>
      <c r="R24" s="133"/>
      <c r="S24" s="133"/>
      <c r="T24" s="122"/>
      <c r="U24" s="88">
        <f t="shared" si="8"/>
        <v>0</v>
      </c>
      <c r="V24" s="88">
        <f t="shared" si="9"/>
        <v>0</v>
      </c>
      <c r="W24" s="88">
        <f t="shared" si="10"/>
        <v>0</v>
      </c>
      <c r="X24" s="88">
        <f t="shared" si="11"/>
        <v>0</v>
      </c>
      <c r="Y24" s="88">
        <v>0</v>
      </c>
    </row>
    <row r="25" spans="1:25" x14ac:dyDescent="0.45">
      <c r="A25">
        <v>6</v>
      </c>
      <c r="B25" s="370" t="str">
        <f>Input_Data!B11</f>
        <v>Installation cost ($/hr) per tree</v>
      </c>
      <c r="C25" s="3">
        <f t="shared" si="0"/>
        <v>0</v>
      </c>
      <c r="D25" s="3">
        <f t="shared" si="1"/>
        <v>0</v>
      </c>
      <c r="E25" s="3">
        <f t="shared" si="2"/>
        <v>0</v>
      </c>
      <c r="F25" s="3">
        <f t="shared" si="3"/>
        <v>0</v>
      </c>
      <c r="G25" s="3">
        <f t="shared" si="4"/>
        <v>0</v>
      </c>
      <c r="H25" s="3">
        <f t="shared" si="5"/>
        <v>0</v>
      </c>
      <c r="I25" s="3">
        <f t="shared" si="6"/>
        <v>0</v>
      </c>
      <c r="J25" s="3">
        <f t="shared" si="7"/>
        <v>0</v>
      </c>
      <c r="L25" s="69"/>
      <c r="M25" s="91"/>
      <c r="N25" s="92"/>
      <c r="O25" s="133"/>
      <c r="P25" s="133"/>
      <c r="Q25" s="133"/>
      <c r="R25" s="133"/>
      <c r="S25" s="133"/>
      <c r="T25" s="122"/>
      <c r="U25" s="88">
        <f t="shared" si="8"/>
        <v>0</v>
      </c>
      <c r="V25" s="88">
        <f t="shared" si="9"/>
        <v>0</v>
      </c>
      <c r="W25" s="88">
        <f t="shared" si="10"/>
        <v>0</v>
      </c>
      <c r="X25" s="88">
        <f t="shared" si="11"/>
        <v>0</v>
      </c>
      <c r="Y25" s="88">
        <v>0</v>
      </c>
    </row>
    <row r="26" spans="1:25" x14ac:dyDescent="0.45">
      <c r="A26">
        <v>7</v>
      </c>
      <c r="B26" s="370" t="str">
        <f>Input_Data!B12</f>
        <v>Machine rate ($/hr)</v>
      </c>
      <c r="C26" s="3">
        <f t="shared" si="0"/>
        <v>0</v>
      </c>
      <c r="D26" s="3">
        <f t="shared" si="1"/>
        <v>0</v>
      </c>
      <c r="E26" s="3">
        <f t="shared" si="2"/>
        <v>0</v>
      </c>
      <c r="F26" s="3">
        <f t="shared" si="3"/>
        <v>0</v>
      </c>
      <c r="G26" s="3">
        <f t="shared" si="4"/>
        <v>0</v>
      </c>
      <c r="H26" s="3">
        <f t="shared" si="5"/>
        <v>0</v>
      </c>
      <c r="I26" s="3">
        <f t="shared" si="6"/>
        <v>0</v>
      </c>
      <c r="J26" s="3">
        <f t="shared" si="7"/>
        <v>0</v>
      </c>
      <c r="L26" s="69"/>
      <c r="M26" s="91"/>
      <c r="N26" s="92"/>
      <c r="O26" s="133"/>
      <c r="P26" s="133"/>
      <c r="Q26" s="133"/>
      <c r="R26" s="133"/>
      <c r="S26" s="133"/>
      <c r="T26" s="122"/>
      <c r="U26" s="88">
        <f t="shared" si="8"/>
        <v>0</v>
      </c>
      <c r="V26" s="88">
        <f t="shared" si="9"/>
        <v>0</v>
      </c>
      <c r="W26" s="88">
        <f t="shared" si="10"/>
        <v>0</v>
      </c>
      <c r="X26" s="88">
        <f t="shared" si="11"/>
        <v>0</v>
      </c>
      <c r="Y26" s="88">
        <v>0</v>
      </c>
    </row>
    <row r="27" spans="1:25" x14ac:dyDescent="0.45">
      <c r="A27">
        <v>8</v>
      </c>
      <c r="B27" s="370" t="str">
        <f>Input_Data!B13</f>
        <v>Tree protection fencing ($)</v>
      </c>
      <c r="C27" s="3">
        <f t="shared" si="0"/>
        <v>0</v>
      </c>
      <c r="D27" s="3">
        <f t="shared" si="1"/>
        <v>0</v>
      </c>
      <c r="E27" s="3">
        <f t="shared" si="2"/>
        <v>0</v>
      </c>
      <c r="F27" s="3">
        <f t="shared" si="3"/>
        <v>0</v>
      </c>
      <c r="G27" s="3">
        <f t="shared" si="4"/>
        <v>0</v>
      </c>
      <c r="H27" s="3">
        <f t="shared" si="5"/>
        <v>0</v>
      </c>
      <c r="I27" s="3">
        <f t="shared" si="6"/>
        <v>0</v>
      </c>
      <c r="J27" s="3">
        <f t="shared" si="7"/>
        <v>0</v>
      </c>
      <c r="L27" s="69"/>
      <c r="M27" s="91"/>
      <c r="N27" s="92"/>
      <c r="O27" s="133"/>
      <c r="P27" s="133"/>
      <c r="Q27" s="133"/>
      <c r="R27" s="133"/>
      <c r="S27" s="133"/>
      <c r="T27" s="122"/>
      <c r="U27" s="88">
        <f t="shared" si="8"/>
        <v>0</v>
      </c>
      <c r="V27" s="88">
        <f t="shared" si="9"/>
        <v>0</v>
      </c>
      <c r="W27" s="88">
        <f t="shared" si="10"/>
        <v>0</v>
      </c>
      <c r="X27" s="88">
        <f t="shared" si="11"/>
        <v>0</v>
      </c>
      <c r="Y27" s="88">
        <v>0</v>
      </c>
    </row>
    <row r="28" spans="1:25" x14ac:dyDescent="0.45">
      <c r="A28">
        <v>9</v>
      </c>
      <c r="B28" s="370" t="str">
        <f>Input_Data!B14</f>
        <v>Tree removal ($/tree)</v>
      </c>
      <c r="C28" s="3">
        <f t="shared" si="0"/>
        <v>0</v>
      </c>
      <c r="D28" s="3">
        <f t="shared" si="1"/>
        <v>0</v>
      </c>
      <c r="E28" s="3">
        <f t="shared" si="2"/>
        <v>0</v>
      </c>
      <c r="F28" s="3">
        <f t="shared" si="3"/>
        <v>0</v>
      </c>
      <c r="G28" s="3">
        <f t="shared" si="4"/>
        <v>0</v>
      </c>
      <c r="H28" s="3">
        <f t="shared" si="5"/>
        <v>0</v>
      </c>
      <c r="I28" s="3">
        <f t="shared" si="6"/>
        <v>0</v>
      </c>
      <c r="J28" s="3">
        <f t="shared" si="7"/>
        <v>0</v>
      </c>
      <c r="L28" s="69"/>
      <c r="M28" s="91"/>
      <c r="N28" s="92"/>
      <c r="O28" s="133"/>
      <c r="P28" s="133"/>
      <c r="Q28" s="133"/>
      <c r="R28" s="133"/>
      <c r="S28" s="133"/>
      <c r="T28" s="122"/>
      <c r="U28" s="88">
        <f t="shared" si="8"/>
        <v>0</v>
      </c>
      <c r="V28" s="88">
        <f t="shared" si="9"/>
        <v>0</v>
      </c>
      <c r="W28" s="88">
        <f t="shared" si="10"/>
        <v>0</v>
      </c>
      <c r="X28" s="88">
        <f t="shared" si="11"/>
        <v>0</v>
      </c>
      <c r="Y28" s="88">
        <v>0</v>
      </c>
    </row>
    <row r="29" spans="1:25" x14ac:dyDescent="0.45">
      <c r="A29">
        <v>10</v>
      </c>
      <c r="B29" s="370" t="str">
        <f>Input_Data!B15</f>
        <v>Soil cost ($/m3)</v>
      </c>
      <c r="C29" s="3">
        <f t="shared" si="0"/>
        <v>0</v>
      </c>
      <c r="D29" s="3">
        <f t="shared" si="1"/>
        <v>0</v>
      </c>
      <c r="E29" s="3">
        <f t="shared" si="2"/>
        <v>0</v>
      </c>
      <c r="F29" s="3">
        <f t="shared" si="3"/>
        <v>0</v>
      </c>
      <c r="G29" s="3">
        <f t="shared" si="4"/>
        <v>0</v>
      </c>
      <c r="H29" s="3">
        <f t="shared" si="5"/>
        <v>0</v>
      </c>
      <c r="I29" s="3">
        <f t="shared" si="6"/>
        <v>0</v>
      </c>
      <c r="J29" s="3">
        <f t="shared" si="7"/>
        <v>0</v>
      </c>
      <c r="L29" s="69"/>
      <c r="M29" s="91"/>
      <c r="N29" s="92"/>
      <c r="O29" s="133"/>
      <c r="P29" s="133"/>
      <c r="Q29" s="133"/>
      <c r="R29" s="133"/>
      <c r="S29" s="133"/>
      <c r="T29" s="122"/>
      <c r="U29" s="88">
        <f t="shared" si="8"/>
        <v>0</v>
      </c>
      <c r="V29" s="88">
        <f t="shared" si="9"/>
        <v>0</v>
      </c>
      <c r="W29" s="88">
        <f t="shared" si="10"/>
        <v>0</v>
      </c>
      <c r="X29" s="88">
        <f t="shared" si="11"/>
        <v>0</v>
      </c>
      <c r="Y29" s="88">
        <v>0</v>
      </c>
    </row>
    <row r="30" spans="1:25" x14ac:dyDescent="0.45">
      <c r="A30">
        <v>11</v>
      </c>
      <c r="B30" s="370" t="str">
        <f>Input_Data!B16</f>
        <v>Maintenance in year 1 ($/tree)</v>
      </c>
      <c r="C30" s="3">
        <f t="shared" si="0"/>
        <v>0</v>
      </c>
      <c r="D30" s="3">
        <f t="shared" si="1"/>
        <v>0</v>
      </c>
      <c r="E30" s="3">
        <f t="shared" si="2"/>
        <v>0</v>
      </c>
      <c r="F30" s="3">
        <f t="shared" si="3"/>
        <v>0</v>
      </c>
      <c r="G30" s="3">
        <f t="shared" si="4"/>
        <v>0</v>
      </c>
      <c r="H30" s="3">
        <f t="shared" si="5"/>
        <v>0</v>
      </c>
      <c r="I30" s="3">
        <f t="shared" si="6"/>
        <v>0</v>
      </c>
      <c r="J30" s="3">
        <f t="shared" si="7"/>
        <v>0</v>
      </c>
      <c r="L30" s="69"/>
      <c r="M30" s="91"/>
      <c r="N30" s="92"/>
      <c r="O30" s="133"/>
      <c r="P30" s="133"/>
      <c r="Q30" s="133"/>
      <c r="R30" s="133"/>
      <c r="S30" s="133"/>
      <c r="T30" s="122"/>
      <c r="U30" s="88">
        <f t="shared" si="8"/>
        <v>0</v>
      </c>
      <c r="V30" s="88">
        <f t="shared" si="9"/>
        <v>0</v>
      </c>
      <c r="W30" s="88">
        <f t="shared" si="10"/>
        <v>0</v>
      </c>
      <c r="X30" s="88">
        <f t="shared" si="11"/>
        <v>0</v>
      </c>
      <c r="Y30" s="88">
        <v>0</v>
      </c>
    </row>
    <row r="31" spans="1:25" x14ac:dyDescent="0.45">
      <c r="A31">
        <v>12</v>
      </c>
      <c r="B31" s="370" t="str">
        <f>Input_Data!B17</f>
        <v>Maintenance in year 2 ($/tree)</v>
      </c>
      <c r="C31" s="3">
        <f t="shared" si="0"/>
        <v>0</v>
      </c>
      <c r="D31" s="3">
        <f t="shared" si="1"/>
        <v>0</v>
      </c>
      <c r="E31" s="3">
        <f t="shared" si="2"/>
        <v>0</v>
      </c>
      <c r="F31" s="3">
        <f t="shared" si="3"/>
        <v>0</v>
      </c>
      <c r="G31" s="3">
        <f t="shared" si="4"/>
        <v>0</v>
      </c>
      <c r="H31" s="3">
        <f t="shared" si="5"/>
        <v>0</v>
      </c>
      <c r="I31" s="3">
        <f t="shared" si="6"/>
        <v>0</v>
      </c>
      <c r="J31" s="3">
        <f t="shared" si="7"/>
        <v>0</v>
      </c>
      <c r="L31" s="69"/>
      <c r="M31" s="91"/>
      <c r="N31" s="92"/>
      <c r="O31" s="133"/>
      <c r="P31" s="133"/>
      <c r="Q31" s="133"/>
      <c r="R31" s="133"/>
      <c r="S31" s="133"/>
      <c r="T31" s="122"/>
      <c r="U31" s="88">
        <f>IF(M31&gt;1,_xlfn.PERCENTILE.INC(L31:N31,0.05),0)</f>
        <v>0</v>
      </c>
      <c r="V31" s="88">
        <f>IF(M31&gt;1,_xlfn.PERCENTILE.INC(L31:N31,0.25),0)</f>
        <v>0</v>
      </c>
      <c r="W31" s="88">
        <f t="shared" si="10"/>
        <v>0</v>
      </c>
      <c r="X31" s="88">
        <f t="shared" si="11"/>
        <v>0</v>
      </c>
      <c r="Y31" s="88">
        <v>0</v>
      </c>
    </row>
    <row r="32" spans="1:25" x14ac:dyDescent="0.45">
      <c r="A32">
        <v>13</v>
      </c>
      <c r="B32" s="370" t="str">
        <f>Input_Data!B18</f>
        <v>Maintenance in year 3 and onwards (annual $/tree)</v>
      </c>
      <c r="C32" s="3">
        <f>IF(L32&gt;0.00000001,L32,0)</f>
        <v>0</v>
      </c>
      <c r="D32" s="3">
        <f>IF(U32&gt;0.00000001,U32,0)</f>
        <v>0</v>
      </c>
      <c r="E32" s="3">
        <f>IF(V32&gt;0.00000001,V32,0)</f>
        <v>0</v>
      </c>
      <c r="F32" s="3">
        <f>IF(M32&gt;0.00000001,M32,0)</f>
        <v>0</v>
      </c>
      <c r="G32" s="3">
        <f>IF(W32&gt;0.00000001,W32,0)</f>
        <v>0</v>
      </c>
      <c r="H32" s="3">
        <f>IF(X32&gt;0.00000001,X32,0)</f>
        <v>0</v>
      </c>
      <c r="I32" s="3">
        <f>IF(N32&gt;0.00000001,N32,0)</f>
        <v>0</v>
      </c>
      <c r="J32" s="3">
        <f>IF(Y32&gt;0.00000001,X32,0)</f>
        <v>0</v>
      </c>
      <c r="L32" s="69"/>
      <c r="M32" s="91"/>
      <c r="N32" s="92"/>
      <c r="O32" s="133"/>
      <c r="P32" s="133"/>
      <c r="Q32" s="133"/>
      <c r="R32" s="133"/>
      <c r="S32" s="133"/>
      <c r="T32" s="122"/>
      <c r="U32" s="88">
        <f t="shared" si="8"/>
        <v>0</v>
      </c>
      <c r="V32" s="88">
        <f t="shared" si="9"/>
        <v>0</v>
      </c>
      <c r="W32" s="88">
        <f t="shared" si="10"/>
        <v>0</v>
      </c>
      <c r="X32" s="88">
        <f t="shared" si="11"/>
        <v>0</v>
      </c>
      <c r="Y32" s="88">
        <v>0</v>
      </c>
    </row>
    <row r="33" spans="1:25" x14ac:dyDescent="0.45">
      <c r="A33">
        <v>14</v>
      </c>
      <c r="B33" s="370" t="str">
        <f>Input_Data!B19</f>
        <v>Traffic control cost ($)</v>
      </c>
      <c r="C33" s="3">
        <f t="shared" si="0"/>
        <v>0</v>
      </c>
      <c r="D33" s="3">
        <f t="shared" si="1"/>
        <v>0</v>
      </c>
      <c r="E33" s="3">
        <f t="shared" si="2"/>
        <v>0</v>
      </c>
      <c r="F33" s="3">
        <f t="shared" si="3"/>
        <v>0</v>
      </c>
      <c r="G33" s="3">
        <f t="shared" si="4"/>
        <v>0</v>
      </c>
      <c r="H33" s="3">
        <f t="shared" si="5"/>
        <v>0</v>
      </c>
      <c r="I33" s="3">
        <f t="shared" si="6"/>
        <v>0</v>
      </c>
      <c r="J33" s="3">
        <f t="shared" si="7"/>
        <v>0</v>
      </c>
      <c r="L33" s="69"/>
      <c r="M33" s="91"/>
      <c r="N33" s="92"/>
      <c r="O33" s="133"/>
      <c r="P33" s="133"/>
      <c r="Q33" s="133"/>
      <c r="R33" s="133"/>
      <c r="S33" s="133"/>
      <c r="T33" s="122"/>
      <c r="U33" s="88">
        <f t="shared" si="8"/>
        <v>0</v>
      </c>
      <c r="V33" s="88">
        <f t="shared" si="9"/>
        <v>0</v>
      </c>
      <c r="W33" s="88">
        <f t="shared" si="10"/>
        <v>0</v>
      </c>
      <c r="X33" s="88">
        <f t="shared" si="11"/>
        <v>0</v>
      </c>
      <c r="Y33" s="88">
        <v>0</v>
      </c>
    </row>
    <row r="34" spans="1:25" x14ac:dyDescent="0.45">
      <c r="A34">
        <v>15</v>
      </c>
      <c r="B34" s="370" t="str">
        <f>Input_Data!B20</f>
        <v>Guard rails ($)</v>
      </c>
      <c r="C34" s="3">
        <f t="shared" si="0"/>
        <v>0</v>
      </c>
      <c r="D34" s="3">
        <f t="shared" si="1"/>
        <v>0</v>
      </c>
      <c r="E34" s="3">
        <f t="shared" si="2"/>
        <v>0</v>
      </c>
      <c r="F34" s="3">
        <f t="shared" si="3"/>
        <v>0</v>
      </c>
      <c r="G34" s="3">
        <f t="shared" si="4"/>
        <v>0</v>
      </c>
      <c r="H34" s="3">
        <f t="shared" si="5"/>
        <v>0</v>
      </c>
      <c r="I34" s="3">
        <f t="shared" si="6"/>
        <v>0</v>
      </c>
      <c r="J34" s="3">
        <f t="shared" si="7"/>
        <v>0</v>
      </c>
      <c r="L34" s="69"/>
      <c r="M34" s="91"/>
      <c r="N34" s="92"/>
      <c r="O34" s="133"/>
      <c r="P34" s="133"/>
      <c r="Q34" s="133"/>
      <c r="R34" s="133"/>
      <c r="S34" s="133"/>
      <c r="T34" s="122"/>
      <c r="U34" s="88">
        <f t="shared" si="8"/>
        <v>0</v>
      </c>
      <c r="V34" s="88">
        <f t="shared" si="9"/>
        <v>0</v>
      </c>
      <c r="W34" s="88">
        <f t="shared" si="10"/>
        <v>0</v>
      </c>
      <c r="X34" s="88">
        <f t="shared" si="11"/>
        <v>0</v>
      </c>
      <c r="Y34" s="88">
        <v>0</v>
      </c>
    </row>
    <row r="35" spans="1:25" x14ac:dyDescent="0.45">
      <c r="A35">
        <v>16</v>
      </c>
      <c r="B35" s="370" t="str">
        <f>Input_Data!B21</f>
        <v>Arborist tree health inspection ($/tree)</v>
      </c>
      <c r="C35" s="3">
        <f t="shared" si="0"/>
        <v>0</v>
      </c>
      <c r="D35" s="3">
        <f t="shared" si="1"/>
        <v>0</v>
      </c>
      <c r="E35" s="3">
        <f t="shared" si="2"/>
        <v>0</v>
      </c>
      <c r="F35" s="3">
        <f t="shared" si="3"/>
        <v>0</v>
      </c>
      <c r="G35" s="3">
        <f t="shared" si="4"/>
        <v>0</v>
      </c>
      <c r="H35" s="3">
        <f t="shared" si="5"/>
        <v>0</v>
      </c>
      <c r="I35" s="3">
        <f t="shared" si="6"/>
        <v>0</v>
      </c>
      <c r="J35" s="3">
        <f t="shared" si="7"/>
        <v>0</v>
      </c>
      <c r="L35" s="69"/>
      <c r="M35" s="91"/>
      <c r="N35" s="92"/>
      <c r="O35" s="133"/>
      <c r="P35" s="133"/>
      <c r="Q35" s="133"/>
      <c r="R35" s="133"/>
      <c r="S35" s="133"/>
      <c r="T35" s="122"/>
      <c r="U35" s="88">
        <f t="shared" si="8"/>
        <v>0</v>
      </c>
      <c r="V35" s="88">
        <f t="shared" si="9"/>
        <v>0</v>
      </c>
      <c r="W35" s="88">
        <f t="shared" si="10"/>
        <v>0</v>
      </c>
      <c r="X35" s="88">
        <f t="shared" si="11"/>
        <v>0</v>
      </c>
      <c r="Y35" s="88">
        <v>0</v>
      </c>
    </row>
    <row r="36" spans="1:25" x14ac:dyDescent="0.45">
      <c r="A36">
        <v>17</v>
      </c>
      <c r="B36" s="370" t="str">
        <f>Input_Data!B22</f>
        <v>GIS mapping and inventory assessment ($)</v>
      </c>
      <c r="C36" s="3">
        <f t="shared" si="0"/>
        <v>0</v>
      </c>
      <c r="D36" s="3">
        <f t="shared" si="1"/>
        <v>0</v>
      </c>
      <c r="E36" s="3">
        <f t="shared" si="2"/>
        <v>0</v>
      </c>
      <c r="F36" s="3">
        <f t="shared" si="3"/>
        <v>0</v>
      </c>
      <c r="G36" s="3">
        <f t="shared" si="4"/>
        <v>0</v>
      </c>
      <c r="H36" s="3">
        <f t="shared" si="5"/>
        <v>0</v>
      </c>
      <c r="I36" s="3">
        <f t="shared" si="6"/>
        <v>0</v>
      </c>
      <c r="J36" s="3">
        <f t="shared" si="7"/>
        <v>0</v>
      </c>
      <c r="L36" s="69"/>
      <c r="M36" s="91"/>
      <c r="N36" s="92"/>
      <c r="O36" s="133"/>
      <c r="P36" s="133"/>
      <c r="Q36" s="133"/>
      <c r="R36" s="133"/>
      <c r="S36" s="133"/>
      <c r="T36" s="122"/>
      <c r="U36" s="88">
        <f t="shared" si="8"/>
        <v>0</v>
      </c>
      <c r="V36" s="88">
        <f t="shared" si="9"/>
        <v>0</v>
      </c>
      <c r="W36" s="88">
        <f t="shared" si="10"/>
        <v>0</v>
      </c>
      <c r="X36" s="88">
        <f t="shared" si="11"/>
        <v>0</v>
      </c>
      <c r="Y36" s="88">
        <v>0</v>
      </c>
    </row>
    <row r="37" spans="1:25" x14ac:dyDescent="0.45">
      <c r="A37">
        <v>18</v>
      </c>
      <c r="B37" s="370" t="str">
        <f>Input_Data!B23</f>
        <v>Watering ($/tree per visit)</v>
      </c>
      <c r="C37" s="3">
        <f t="shared" ref="C37:C45" si="12">IF(L37&gt;0.00000001,L37,0)</f>
        <v>0</v>
      </c>
      <c r="D37" s="3">
        <f t="shared" ref="D37:D44" si="13">IF(U37&gt;0.00000001,U37,0)</f>
        <v>0</v>
      </c>
      <c r="E37" s="3">
        <f t="shared" ref="E37:E45" si="14">IF(V37&gt;0.00000001,V37,0)</f>
        <v>0</v>
      </c>
      <c r="F37" s="3">
        <f t="shared" ref="F37:F45" si="15">IF(M37&gt;0.00000001,M37,0)</f>
        <v>0</v>
      </c>
      <c r="G37" s="3">
        <f t="shared" ref="G37:G45" si="16">IF(W37&gt;0.00000001,W37,0)</f>
        <v>0</v>
      </c>
      <c r="H37" s="3">
        <f t="shared" ref="H37:H45" si="17">IF(X37&gt;0.00000001,X37,0)</f>
        <v>0</v>
      </c>
      <c r="I37" s="3">
        <f t="shared" ref="I37:I45" si="18">IF(N37&gt;0.00000001,N37,0)</f>
        <v>0</v>
      </c>
      <c r="J37" s="3">
        <f t="shared" ref="J37:J45" si="19">IF(Y37&gt;0.00000001,X37,0)</f>
        <v>0</v>
      </c>
      <c r="L37" s="69"/>
      <c r="M37" s="91"/>
      <c r="N37" s="92"/>
      <c r="O37" s="133"/>
      <c r="P37" s="133"/>
      <c r="Q37" s="133"/>
      <c r="R37" s="133"/>
      <c r="S37" s="133"/>
      <c r="T37" s="122"/>
      <c r="U37" s="88">
        <f t="shared" ref="U37:U44" si="20">IF(M37&gt;1,_xlfn.PERCENTILE.INC(L37:N37,0.05),0)</f>
        <v>0</v>
      </c>
      <c r="V37" s="88">
        <f t="shared" ref="V37:V44" si="21">IF(M37&gt;1,_xlfn.PERCENTILE.INC(L37:N37,0.25),0)</f>
        <v>0</v>
      </c>
      <c r="W37" s="88">
        <f t="shared" ref="W37:W44" si="22">IF(M37&gt;1,_xlfn.PERCENTILE.INC(L37:N37,0.75),0)</f>
        <v>0</v>
      </c>
      <c r="X37" s="88">
        <f t="shared" ref="X37:X44" si="23">IF(M37&gt;1,_xlfn.PERCENTILE.INC(L37:N37,0.95),0)</f>
        <v>0</v>
      </c>
      <c r="Y37" s="88">
        <v>0</v>
      </c>
    </row>
    <row r="38" spans="1:25" x14ac:dyDescent="0.45">
      <c r="A38">
        <v>19</v>
      </c>
      <c r="B38" s="370" t="str">
        <f>Input_Data!B24</f>
        <v>Strata cells/vault installation ($/tree)</v>
      </c>
      <c r="C38" s="3">
        <f t="shared" si="12"/>
        <v>0</v>
      </c>
      <c r="D38" s="3">
        <f t="shared" si="13"/>
        <v>0</v>
      </c>
      <c r="E38" s="3">
        <f t="shared" si="14"/>
        <v>0</v>
      </c>
      <c r="F38" s="3">
        <f t="shared" si="15"/>
        <v>0</v>
      </c>
      <c r="G38" s="3">
        <f t="shared" si="16"/>
        <v>0</v>
      </c>
      <c r="H38" s="3">
        <f t="shared" si="17"/>
        <v>0</v>
      </c>
      <c r="I38" s="3">
        <f t="shared" si="18"/>
        <v>0</v>
      </c>
      <c r="J38" s="3">
        <f t="shared" si="19"/>
        <v>0</v>
      </c>
      <c r="L38" s="69"/>
      <c r="M38" s="91"/>
      <c r="N38" s="92"/>
      <c r="O38" s="133"/>
      <c r="P38" s="133"/>
      <c r="Q38" s="133"/>
      <c r="R38" s="133"/>
      <c r="S38" s="133"/>
      <c r="T38" s="122"/>
      <c r="U38" s="88">
        <f t="shared" si="20"/>
        <v>0</v>
      </c>
      <c r="V38" s="88">
        <f t="shared" si="21"/>
        <v>0</v>
      </c>
      <c r="W38" s="88">
        <f t="shared" si="22"/>
        <v>0</v>
      </c>
      <c r="X38" s="88">
        <f t="shared" si="23"/>
        <v>0</v>
      </c>
      <c r="Y38" s="88">
        <v>0</v>
      </c>
    </row>
    <row r="39" spans="1:25" x14ac:dyDescent="0.45">
      <c r="A39">
        <v>20</v>
      </c>
      <c r="B39" s="370" t="str">
        <f>Input_Data!B25</f>
        <v>Visual tree inspection ($/tree)</v>
      </c>
      <c r="C39" s="234">
        <f t="shared" si="12"/>
        <v>0</v>
      </c>
      <c r="D39" s="234">
        <f t="shared" si="13"/>
        <v>0</v>
      </c>
      <c r="E39" s="234">
        <f t="shared" si="14"/>
        <v>0</v>
      </c>
      <c r="F39" s="234">
        <f t="shared" si="15"/>
        <v>0</v>
      </c>
      <c r="G39" s="234">
        <f t="shared" si="16"/>
        <v>0</v>
      </c>
      <c r="H39" s="234">
        <f t="shared" si="17"/>
        <v>0</v>
      </c>
      <c r="I39" s="234">
        <f t="shared" si="18"/>
        <v>0</v>
      </c>
      <c r="J39" s="234">
        <f t="shared" si="19"/>
        <v>0</v>
      </c>
      <c r="L39" s="69"/>
      <c r="M39" s="91"/>
      <c r="N39" s="92"/>
      <c r="O39" s="133"/>
      <c r="P39" s="133"/>
      <c r="Q39" s="133"/>
      <c r="R39" s="133"/>
      <c r="S39" s="133"/>
      <c r="T39" s="122"/>
      <c r="U39" s="88">
        <f t="shared" si="20"/>
        <v>0</v>
      </c>
      <c r="V39" s="88">
        <f t="shared" si="21"/>
        <v>0</v>
      </c>
      <c r="W39" s="88">
        <f t="shared" si="22"/>
        <v>0</v>
      </c>
      <c r="X39" s="88">
        <f t="shared" si="23"/>
        <v>0</v>
      </c>
      <c r="Y39" s="88">
        <v>0</v>
      </c>
    </row>
    <row r="40" spans="1:25" x14ac:dyDescent="0.45">
      <c r="A40">
        <v>21</v>
      </c>
      <c r="B40" s="279" t="s">
        <v>423</v>
      </c>
      <c r="C40" s="234">
        <f t="shared" si="12"/>
        <v>0</v>
      </c>
      <c r="D40" s="234">
        <f t="shared" si="13"/>
        <v>0</v>
      </c>
      <c r="E40" s="234">
        <f t="shared" si="14"/>
        <v>0</v>
      </c>
      <c r="F40" s="234">
        <f t="shared" si="15"/>
        <v>0</v>
      </c>
      <c r="G40" s="234">
        <f t="shared" si="16"/>
        <v>0</v>
      </c>
      <c r="H40" s="234">
        <f t="shared" si="17"/>
        <v>0</v>
      </c>
      <c r="I40" s="234">
        <f t="shared" si="18"/>
        <v>0</v>
      </c>
      <c r="J40" s="234">
        <f t="shared" si="19"/>
        <v>0</v>
      </c>
      <c r="L40" s="69"/>
      <c r="M40" s="92"/>
      <c r="N40" s="92"/>
      <c r="O40" s="133"/>
      <c r="P40" s="133"/>
      <c r="Q40" s="133"/>
      <c r="R40" s="133"/>
      <c r="S40" s="133"/>
      <c r="T40" s="122"/>
      <c r="U40" s="88">
        <f t="shared" si="20"/>
        <v>0</v>
      </c>
      <c r="V40" s="88">
        <f t="shared" si="21"/>
        <v>0</v>
      </c>
      <c r="W40" s="88">
        <f t="shared" si="22"/>
        <v>0</v>
      </c>
      <c r="X40" s="88">
        <f t="shared" si="23"/>
        <v>0</v>
      </c>
      <c r="Y40" s="88">
        <v>0</v>
      </c>
    </row>
    <row r="41" spans="1:25" x14ac:dyDescent="0.45">
      <c r="A41">
        <v>22</v>
      </c>
      <c r="B41" s="279" t="s">
        <v>424</v>
      </c>
      <c r="C41" s="234">
        <f t="shared" si="12"/>
        <v>0</v>
      </c>
      <c r="D41" s="234">
        <f t="shared" si="13"/>
        <v>0</v>
      </c>
      <c r="E41" s="234">
        <f t="shared" si="14"/>
        <v>0</v>
      </c>
      <c r="F41" s="234">
        <f t="shared" si="15"/>
        <v>0</v>
      </c>
      <c r="G41" s="234">
        <f t="shared" si="16"/>
        <v>0</v>
      </c>
      <c r="H41" s="234">
        <f t="shared" si="17"/>
        <v>0</v>
      </c>
      <c r="I41" s="234">
        <f t="shared" si="18"/>
        <v>0</v>
      </c>
      <c r="J41" s="3">
        <f t="shared" si="19"/>
        <v>0</v>
      </c>
      <c r="L41" s="69"/>
      <c r="M41" s="91"/>
      <c r="N41" s="92"/>
      <c r="O41" s="133"/>
      <c r="P41" s="133"/>
      <c r="Q41" s="133"/>
      <c r="R41" s="133"/>
      <c r="S41" s="133"/>
      <c r="T41" s="122"/>
      <c r="U41" s="88">
        <f t="shared" si="20"/>
        <v>0</v>
      </c>
      <c r="V41" s="88">
        <f t="shared" si="21"/>
        <v>0</v>
      </c>
      <c r="W41" s="88">
        <f t="shared" si="22"/>
        <v>0</v>
      </c>
      <c r="X41" s="88">
        <f t="shared" si="23"/>
        <v>0</v>
      </c>
      <c r="Y41" s="88">
        <v>0</v>
      </c>
    </row>
    <row r="42" spans="1:25" x14ac:dyDescent="0.45">
      <c r="A42">
        <v>23</v>
      </c>
      <c r="B42" s="279" t="s">
        <v>260</v>
      </c>
      <c r="C42" s="3">
        <f t="shared" si="12"/>
        <v>0</v>
      </c>
      <c r="D42" s="3">
        <f t="shared" si="13"/>
        <v>0</v>
      </c>
      <c r="E42" s="3">
        <f t="shared" si="14"/>
        <v>0</v>
      </c>
      <c r="F42" s="3">
        <f t="shared" si="15"/>
        <v>0</v>
      </c>
      <c r="G42" s="3">
        <f t="shared" si="16"/>
        <v>0</v>
      </c>
      <c r="H42" s="3">
        <f t="shared" si="17"/>
        <v>0</v>
      </c>
      <c r="I42" s="3">
        <f t="shared" si="18"/>
        <v>0</v>
      </c>
      <c r="J42" s="3">
        <f t="shared" si="19"/>
        <v>0</v>
      </c>
      <c r="L42" s="69"/>
      <c r="M42" s="91"/>
      <c r="N42" s="92"/>
      <c r="O42" s="133"/>
      <c r="P42" s="133"/>
      <c r="Q42" s="133"/>
      <c r="R42" s="133"/>
      <c r="S42" s="133"/>
      <c r="T42" s="122"/>
      <c r="U42" s="88">
        <f t="shared" si="20"/>
        <v>0</v>
      </c>
      <c r="V42" s="88">
        <f t="shared" si="21"/>
        <v>0</v>
      </c>
      <c r="W42" s="88">
        <f t="shared" si="22"/>
        <v>0</v>
      </c>
      <c r="X42" s="88">
        <f t="shared" si="23"/>
        <v>0</v>
      </c>
      <c r="Y42" s="88">
        <v>0</v>
      </c>
    </row>
    <row r="43" spans="1:25" x14ac:dyDescent="0.45">
      <c r="A43">
        <v>24</v>
      </c>
      <c r="B43" s="279" t="s">
        <v>261</v>
      </c>
      <c r="C43" s="3">
        <f t="shared" si="12"/>
        <v>0</v>
      </c>
      <c r="D43" s="3">
        <f t="shared" si="13"/>
        <v>0</v>
      </c>
      <c r="E43" s="3">
        <f t="shared" si="14"/>
        <v>0</v>
      </c>
      <c r="F43" s="3">
        <f t="shared" si="15"/>
        <v>0</v>
      </c>
      <c r="G43" s="3">
        <f t="shared" si="16"/>
        <v>0</v>
      </c>
      <c r="H43" s="3">
        <f t="shared" si="17"/>
        <v>0</v>
      </c>
      <c r="I43" s="3">
        <f t="shared" si="18"/>
        <v>0</v>
      </c>
      <c r="J43" s="3">
        <f t="shared" si="19"/>
        <v>0</v>
      </c>
      <c r="L43" s="69"/>
      <c r="M43" s="91"/>
      <c r="N43" s="92"/>
      <c r="O43" s="133"/>
      <c r="P43" s="133"/>
      <c r="Q43" s="133"/>
      <c r="R43" s="133"/>
      <c r="S43" s="133"/>
      <c r="T43" s="122"/>
      <c r="U43" s="88">
        <f t="shared" si="20"/>
        <v>0</v>
      </c>
      <c r="V43" s="88">
        <f t="shared" si="21"/>
        <v>0</v>
      </c>
      <c r="W43" s="88">
        <f t="shared" si="22"/>
        <v>0</v>
      </c>
      <c r="X43" s="88">
        <f t="shared" si="23"/>
        <v>0</v>
      </c>
      <c r="Y43" s="88">
        <v>0</v>
      </c>
    </row>
    <row r="44" spans="1:25" x14ac:dyDescent="0.45">
      <c r="A44">
        <v>25</v>
      </c>
      <c r="B44" s="279" t="s">
        <v>262</v>
      </c>
      <c r="C44" s="3">
        <f t="shared" si="12"/>
        <v>0</v>
      </c>
      <c r="D44" s="3">
        <f t="shared" si="13"/>
        <v>0</v>
      </c>
      <c r="E44" s="3">
        <f t="shared" si="14"/>
        <v>0</v>
      </c>
      <c r="F44" s="3">
        <f t="shared" si="15"/>
        <v>0</v>
      </c>
      <c r="G44" s="3">
        <f t="shared" si="16"/>
        <v>0</v>
      </c>
      <c r="H44" s="3">
        <f t="shared" si="17"/>
        <v>0</v>
      </c>
      <c r="I44" s="3">
        <f t="shared" si="18"/>
        <v>0</v>
      </c>
      <c r="J44" s="3">
        <f t="shared" si="19"/>
        <v>0</v>
      </c>
      <c r="L44" s="69"/>
      <c r="M44" s="91"/>
      <c r="N44" s="92"/>
      <c r="O44" s="133"/>
      <c r="P44" s="133"/>
      <c r="Q44" s="133"/>
      <c r="R44" s="133"/>
      <c r="S44" s="133"/>
      <c r="T44" s="122"/>
      <c r="U44" s="88">
        <f t="shared" si="20"/>
        <v>0</v>
      </c>
      <c r="V44" s="88">
        <f t="shared" si="21"/>
        <v>0</v>
      </c>
      <c r="W44" s="88">
        <f t="shared" si="22"/>
        <v>0</v>
      </c>
      <c r="X44" s="88">
        <f t="shared" si="23"/>
        <v>0</v>
      </c>
      <c r="Y44" s="88">
        <v>0</v>
      </c>
    </row>
    <row r="45" spans="1:25" x14ac:dyDescent="0.45">
      <c r="A45">
        <v>26</v>
      </c>
      <c r="B45" s="279" t="s">
        <v>263</v>
      </c>
      <c r="C45" s="3">
        <f t="shared" si="12"/>
        <v>0</v>
      </c>
      <c r="D45" s="3">
        <f>IF(U45&gt;0.00000001,U45,0)</f>
        <v>0</v>
      </c>
      <c r="E45" s="3">
        <f t="shared" si="14"/>
        <v>0</v>
      </c>
      <c r="F45" s="3">
        <f t="shared" si="15"/>
        <v>0</v>
      </c>
      <c r="G45" s="3">
        <f t="shared" si="16"/>
        <v>0</v>
      </c>
      <c r="H45" s="3">
        <f t="shared" si="17"/>
        <v>0</v>
      </c>
      <c r="I45" s="3">
        <f t="shared" si="18"/>
        <v>0</v>
      </c>
      <c r="J45" s="3">
        <f t="shared" si="19"/>
        <v>0</v>
      </c>
      <c r="L45" s="69"/>
      <c r="M45" s="91"/>
      <c r="N45" s="92"/>
      <c r="O45" s="66"/>
      <c r="P45" s="66"/>
      <c r="Q45" s="66"/>
      <c r="R45" s="66"/>
      <c r="S45" s="66"/>
      <c r="T45" s="122"/>
      <c r="U45" s="88">
        <f>IF(M45&gt;1,_xlfn.PERCENTILE.INC(L45:N45,0.05),0)</f>
        <v>0</v>
      </c>
      <c r="V45" s="88">
        <f>IF(M45&gt;1,_xlfn.PERCENTILE.INC(L45:N45,0.25),0)</f>
        <v>0</v>
      </c>
      <c r="W45" s="88">
        <f>IF(M45&gt;1,_xlfn.PERCENTILE.INC(L45:N45,0.75),0)</f>
        <v>0</v>
      </c>
      <c r="X45" s="88">
        <f>IF(M45&gt;1,_xlfn.PERCENTILE.INC(L45:N45,0.95),0)</f>
        <v>0</v>
      </c>
      <c r="Y45" s="88">
        <v>0</v>
      </c>
    </row>
    <row r="46" spans="1:25" x14ac:dyDescent="0.45">
      <c r="B46" s="90"/>
      <c r="D46" s="72"/>
      <c r="E46" s="72"/>
      <c r="F46" s="72"/>
      <c r="G46" s="72"/>
      <c r="H46" s="72"/>
      <c r="O46" s="47"/>
      <c r="P46" s="47"/>
      <c r="Q46" s="47"/>
      <c r="R46" s="47"/>
      <c r="S46" s="47"/>
      <c r="U46" s="90"/>
      <c r="V46" s="90"/>
      <c r="W46" s="90"/>
      <c r="X46" s="90"/>
      <c r="Y46" s="90"/>
    </row>
    <row r="47" spans="1:25" ht="14.65" thickBot="1" x14ac:dyDescent="0.5">
      <c r="B47" s="90"/>
      <c r="C47" s="380" t="str">
        <f>Input_Data!C34</f>
        <v>Volume 75-100L</v>
      </c>
      <c r="D47" s="380"/>
      <c r="E47" s="380"/>
      <c r="F47" s="380"/>
      <c r="G47" s="380"/>
      <c r="H47" s="380"/>
      <c r="I47" s="380"/>
      <c r="J47" s="380"/>
      <c r="L47" s="380" t="str">
        <f>C47</f>
        <v>Volume 75-100L</v>
      </c>
      <c r="M47" s="380"/>
      <c r="N47" s="380"/>
      <c r="O47" s="128"/>
      <c r="P47" s="128"/>
      <c r="Q47" s="128"/>
      <c r="R47" s="128"/>
      <c r="S47" s="128"/>
      <c r="T47" s="123"/>
      <c r="U47" s="123"/>
      <c r="V47" s="123"/>
      <c r="W47" s="123"/>
      <c r="X47" s="123"/>
      <c r="Y47" s="123"/>
    </row>
    <row r="48" spans="1:25" ht="14.65" hidden="1" thickBot="1" x14ac:dyDescent="0.5">
      <c r="B48" s="90">
        <v>1</v>
      </c>
      <c r="C48" s="75">
        <v>2</v>
      </c>
      <c r="D48" s="75">
        <v>3</v>
      </c>
      <c r="E48" s="75">
        <v>4</v>
      </c>
      <c r="F48" s="75">
        <v>5</v>
      </c>
      <c r="G48" s="75">
        <v>6</v>
      </c>
      <c r="H48" s="75">
        <v>7</v>
      </c>
      <c r="I48" s="75">
        <v>8</v>
      </c>
      <c r="J48" s="75">
        <v>9</v>
      </c>
      <c r="K48" s="68">
        <v>10</v>
      </c>
      <c r="L48" s="352">
        <v>11</v>
      </c>
      <c r="M48" s="352">
        <v>12</v>
      </c>
      <c r="N48" s="352">
        <v>13</v>
      </c>
      <c r="O48" s="129"/>
      <c r="P48" s="129"/>
      <c r="Q48" s="129"/>
      <c r="R48" s="129"/>
      <c r="S48" s="129"/>
      <c r="T48" s="113"/>
      <c r="U48" s="68">
        <v>14</v>
      </c>
      <c r="V48" s="68">
        <v>15</v>
      </c>
      <c r="W48" s="68">
        <v>16</v>
      </c>
      <c r="X48" s="68">
        <v>17</v>
      </c>
      <c r="Y48" s="68">
        <v>18</v>
      </c>
    </row>
    <row r="49" spans="1:25" ht="14.65" thickBot="1" x14ac:dyDescent="0.5">
      <c r="B49" s="369" t="str">
        <f>B19</f>
        <v>Item/Activity</v>
      </c>
      <c r="C49" s="6" t="str">
        <f>C19</f>
        <v>p0</v>
      </c>
      <c r="D49" s="6" t="str">
        <f t="shared" ref="D49:J49" si="24">D19</f>
        <v>p5</v>
      </c>
      <c r="E49" s="6" t="str">
        <f t="shared" si="24"/>
        <v>p25</v>
      </c>
      <c r="F49" s="6" t="str">
        <f t="shared" si="24"/>
        <v>p50</v>
      </c>
      <c r="G49" s="6" t="str">
        <f t="shared" si="24"/>
        <v>p75</v>
      </c>
      <c r="H49" s="6" t="str">
        <f t="shared" si="24"/>
        <v>p95</v>
      </c>
      <c r="I49" s="6" t="str">
        <f t="shared" si="24"/>
        <v>p100</v>
      </c>
      <c r="J49" s="6" t="str">
        <f t="shared" si="24"/>
        <v>N/A</v>
      </c>
      <c r="L49" s="6" t="str">
        <f>L19</f>
        <v>Low</v>
      </c>
      <c r="M49" s="6" t="str">
        <f>M19</f>
        <v>Most likely</v>
      </c>
      <c r="N49" s="6" t="str">
        <f t="shared" ref="N49:Y49" si="25">N19</f>
        <v>Highest</v>
      </c>
      <c r="O49" s="129"/>
      <c r="P49" s="129"/>
      <c r="Q49" s="129"/>
      <c r="R49" s="129"/>
      <c r="S49" s="129"/>
      <c r="T49" s="124"/>
      <c r="U49" s="6" t="str">
        <f t="shared" si="25"/>
        <v>p5</v>
      </c>
      <c r="V49" s="6" t="str">
        <f t="shared" si="25"/>
        <v>p25</v>
      </c>
      <c r="W49" s="6" t="str">
        <f t="shared" si="25"/>
        <v>p75</v>
      </c>
      <c r="X49" s="6" t="str">
        <f t="shared" si="25"/>
        <v>p95</v>
      </c>
      <c r="Y49" s="6" t="str">
        <f t="shared" si="25"/>
        <v>N/A</v>
      </c>
    </row>
    <row r="50" spans="1:25" x14ac:dyDescent="0.45">
      <c r="A50">
        <v>1</v>
      </c>
      <c r="B50" s="370" t="str">
        <f>B20</f>
        <v>Concrete cutting ($)</v>
      </c>
      <c r="C50" s="7">
        <f>IF(L50&gt;0.00000001,L50,0)</f>
        <v>0</v>
      </c>
      <c r="D50" s="7">
        <f>IF(U50&gt;0.00000001,U50,0)</f>
        <v>0</v>
      </c>
      <c r="E50" s="7">
        <f>IF(V50&gt;0.00000001,V50,0)</f>
        <v>0</v>
      </c>
      <c r="F50" s="7">
        <f>IF(M50&gt;0.00000001,M50,0)</f>
        <v>0</v>
      </c>
      <c r="G50" s="7">
        <f>IF(W50&gt;0.00000001,W50,0)</f>
        <v>0</v>
      </c>
      <c r="H50" s="7">
        <f>IF(N50&gt;0.00000001,X50,0)</f>
        <v>0</v>
      </c>
      <c r="I50" s="7">
        <f>IF(N50&gt;0.00000001,N50,0)</f>
        <v>0</v>
      </c>
      <c r="J50" s="7">
        <f>IF(Y50&gt;0.00000001,X50,0)</f>
        <v>0</v>
      </c>
      <c r="L50" s="70"/>
      <c r="M50" s="70"/>
      <c r="N50" s="70"/>
      <c r="O50" s="130"/>
      <c r="P50" s="130"/>
      <c r="Q50" s="130"/>
      <c r="R50" s="130"/>
      <c r="S50" s="130"/>
      <c r="T50" s="125"/>
      <c r="U50" s="7">
        <f>IF(M50&gt;1,_xlfn.PERCENTILE.INC(L50:N50,0.05),0)</f>
        <v>0</v>
      </c>
      <c r="V50" s="7">
        <f>IF(M50&gt;1,_xlfn.PERCENTILE.INC(L50:N50,0.25),0)</f>
        <v>0</v>
      </c>
      <c r="W50" s="7">
        <f>IF(M50&gt;1,_xlfn.PERCENTILE.INC(L50:N50,0.75),0)</f>
        <v>0</v>
      </c>
      <c r="X50" s="7">
        <f>IF(M50&gt;1,_xlfn.PERCENTILE.INC(L50:N50,0.95),0)</f>
        <v>0</v>
      </c>
      <c r="Y50" s="7">
        <v>0</v>
      </c>
    </row>
    <row r="51" spans="1:25" x14ac:dyDescent="0.45">
      <c r="A51">
        <v>2</v>
      </c>
      <c r="B51" s="370" t="str">
        <f t="shared" ref="B51:B75" si="26">B21</f>
        <v>Supply ($)</v>
      </c>
      <c r="C51" s="7">
        <f t="shared" ref="C51:C64" si="27">IF(L51&gt;0.00000001,L51,0)</f>
        <v>0</v>
      </c>
      <c r="D51" s="7">
        <f t="shared" ref="D51:D65" si="28">IF(U51&gt;0.00000001,U51,0)</f>
        <v>0</v>
      </c>
      <c r="E51" s="7">
        <f t="shared" ref="E51:E65" si="29">IF(V51&gt;0.00000001,V51,0)</f>
        <v>0</v>
      </c>
      <c r="F51" s="7">
        <f t="shared" ref="F51:F65" si="30">IF(M51&gt;0.00000001,M51,0)</f>
        <v>0</v>
      </c>
      <c r="G51" s="7">
        <f t="shared" ref="G51:G65" si="31">IF(W51&gt;0.00000001,W51,0)</f>
        <v>0</v>
      </c>
      <c r="H51" s="7">
        <f t="shared" ref="H51:H65" si="32">IF(X51&gt;0.00000001,X51,0)</f>
        <v>0</v>
      </c>
      <c r="I51" s="7">
        <f t="shared" ref="I51:I65" si="33">IF(N51&gt;0.00000001,N51,0)</f>
        <v>0</v>
      </c>
      <c r="J51" s="7">
        <f t="shared" ref="J51:J65" si="34">IF(Y51&gt;0.00000001,X51,0)</f>
        <v>0</v>
      </c>
      <c r="L51" s="70"/>
      <c r="M51" s="70"/>
      <c r="N51" s="70"/>
      <c r="O51" s="130"/>
      <c r="P51" s="130"/>
      <c r="Q51" s="130"/>
      <c r="R51" s="130"/>
      <c r="S51" s="130"/>
      <c r="T51" s="125"/>
      <c r="U51" s="7">
        <f t="shared" ref="U51:U75" si="35">IF(M51&gt;1,_xlfn.PERCENTILE.INC(L51:N51,0.05),0)</f>
        <v>0</v>
      </c>
      <c r="V51" s="7">
        <f t="shared" ref="V51:V75" si="36">IF(M51&gt;1,_xlfn.PERCENTILE.INC(L51:N51,0.25),0)</f>
        <v>0</v>
      </c>
      <c r="W51" s="7">
        <f t="shared" ref="W51:W75" si="37">IF(M51&gt;1,_xlfn.PERCENTILE.INC(L51:N51,0.75),0)</f>
        <v>0</v>
      </c>
      <c r="X51" s="7">
        <f t="shared" ref="X51:X75" si="38">IF(M51&gt;1,_xlfn.PERCENTILE.INC(L51:N51,0.95),0)</f>
        <v>0</v>
      </c>
      <c r="Y51" s="7">
        <v>0</v>
      </c>
    </row>
    <row r="52" spans="1:25" x14ac:dyDescent="0.45">
      <c r="A52">
        <v>3</v>
      </c>
      <c r="B52" s="370" t="str">
        <f t="shared" si="26"/>
        <v>Tree installation ($)</v>
      </c>
      <c r="C52" s="7">
        <f t="shared" si="27"/>
        <v>0</v>
      </c>
      <c r="D52" s="7">
        <f>IF(U52&gt;0.00000001,U52,0)</f>
        <v>0</v>
      </c>
      <c r="E52" s="7">
        <f t="shared" si="29"/>
        <v>0</v>
      </c>
      <c r="F52" s="7">
        <f t="shared" si="30"/>
        <v>0</v>
      </c>
      <c r="G52" s="7">
        <f t="shared" si="31"/>
        <v>0</v>
      </c>
      <c r="H52" s="7">
        <f t="shared" si="32"/>
        <v>0</v>
      </c>
      <c r="I52" s="7">
        <f t="shared" si="33"/>
        <v>0</v>
      </c>
      <c r="J52" s="7">
        <f t="shared" si="34"/>
        <v>0</v>
      </c>
      <c r="L52" s="70"/>
      <c r="M52" s="70"/>
      <c r="N52" s="70"/>
      <c r="O52" s="130"/>
      <c r="P52" s="130"/>
      <c r="Q52" s="130"/>
      <c r="R52" s="130"/>
      <c r="S52" s="130"/>
      <c r="T52" s="125"/>
      <c r="U52" s="7">
        <f t="shared" si="35"/>
        <v>0</v>
      </c>
      <c r="V52" s="7">
        <f t="shared" si="36"/>
        <v>0</v>
      </c>
      <c r="W52" s="7">
        <f t="shared" si="37"/>
        <v>0</v>
      </c>
      <c r="X52" s="7">
        <f t="shared" si="38"/>
        <v>0</v>
      </c>
      <c r="Y52" s="7">
        <v>0</v>
      </c>
    </row>
    <row r="53" spans="1:25" x14ac:dyDescent="0.45">
      <c r="A53">
        <v>4</v>
      </c>
      <c r="B53" s="370" t="str">
        <f t="shared" si="26"/>
        <v>Mulch cost ($/m3)</v>
      </c>
      <c r="C53" s="7">
        <f t="shared" si="27"/>
        <v>0</v>
      </c>
      <c r="D53" s="7">
        <f t="shared" si="28"/>
        <v>0</v>
      </c>
      <c r="E53" s="7">
        <f t="shared" si="29"/>
        <v>0</v>
      </c>
      <c r="F53" s="7">
        <f t="shared" si="30"/>
        <v>0</v>
      </c>
      <c r="G53" s="7">
        <f t="shared" si="31"/>
        <v>0</v>
      </c>
      <c r="H53" s="7">
        <f t="shared" si="32"/>
        <v>0</v>
      </c>
      <c r="I53" s="7">
        <f t="shared" si="33"/>
        <v>0</v>
      </c>
      <c r="J53" s="7">
        <f t="shared" si="34"/>
        <v>0</v>
      </c>
      <c r="L53" s="70"/>
      <c r="M53" s="70"/>
      <c r="N53" s="70"/>
      <c r="O53" s="130"/>
      <c r="P53" s="130"/>
      <c r="Q53" s="130"/>
      <c r="R53" s="130"/>
      <c r="S53" s="130"/>
      <c r="T53" s="125"/>
      <c r="U53" s="7">
        <f t="shared" si="35"/>
        <v>0</v>
      </c>
      <c r="V53" s="7">
        <f t="shared" si="36"/>
        <v>0</v>
      </c>
      <c r="W53" s="7">
        <f t="shared" si="37"/>
        <v>0</v>
      </c>
      <c r="X53" s="7">
        <f t="shared" si="38"/>
        <v>0</v>
      </c>
      <c r="Y53" s="7">
        <v>0</v>
      </c>
    </row>
    <row r="54" spans="1:25" x14ac:dyDescent="0.45">
      <c r="A54">
        <v>5</v>
      </c>
      <c r="B54" s="370" t="str">
        <f t="shared" si="26"/>
        <v>Stakes and ties ($)</v>
      </c>
      <c r="C54" s="7">
        <f t="shared" si="27"/>
        <v>0</v>
      </c>
      <c r="D54" s="7">
        <f t="shared" si="28"/>
        <v>0</v>
      </c>
      <c r="E54" s="7">
        <f t="shared" si="29"/>
        <v>0</v>
      </c>
      <c r="F54" s="7">
        <f t="shared" si="30"/>
        <v>0</v>
      </c>
      <c r="G54" s="7">
        <f t="shared" si="31"/>
        <v>0</v>
      </c>
      <c r="H54" s="7">
        <f t="shared" si="32"/>
        <v>0</v>
      </c>
      <c r="I54" s="7">
        <f t="shared" si="33"/>
        <v>0</v>
      </c>
      <c r="J54" s="7">
        <f t="shared" si="34"/>
        <v>0</v>
      </c>
      <c r="L54" s="70"/>
      <c r="M54" s="70"/>
      <c r="N54" s="70"/>
      <c r="O54" s="130"/>
      <c r="P54" s="130"/>
      <c r="Q54" s="130"/>
      <c r="R54" s="130"/>
      <c r="S54" s="130"/>
      <c r="T54" s="125"/>
      <c r="U54" s="7">
        <f t="shared" si="35"/>
        <v>0</v>
      </c>
      <c r="V54" s="7">
        <f t="shared" si="36"/>
        <v>0</v>
      </c>
      <c r="W54" s="7">
        <f t="shared" si="37"/>
        <v>0</v>
      </c>
      <c r="X54" s="7">
        <f t="shared" si="38"/>
        <v>0</v>
      </c>
      <c r="Y54" s="7">
        <v>0</v>
      </c>
    </row>
    <row r="55" spans="1:25" x14ac:dyDescent="0.45">
      <c r="A55">
        <v>6</v>
      </c>
      <c r="B55" s="370" t="str">
        <f t="shared" si="26"/>
        <v>Installation cost ($/hr) per tree</v>
      </c>
      <c r="C55" s="7">
        <f t="shared" si="27"/>
        <v>0</v>
      </c>
      <c r="D55" s="7">
        <f t="shared" si="28"/>
        <v>0</v>
      </c>
      <c r="E55" s="7">
        <f t="shared" si="29"/>
        <v>0</v>
      </c>
      <c r="F55" s="7">
        <f t="shared" si="30"/>
        <v>0</v>
      </c>
      <c r="G55" s="7">
        <f t="shared" si="31"/>
        <v>0</v>
      </c>
      <c r="H55" s="7">
        <f t="shared" si="32"/>
        <v>0</v>
      </c>
      <c r="I55" s="7">
        <f t="shared" si="33"/>
        <v>0</v>
      </c>
      <c r="J55" s="7">
        <f t="shared" si="34"/>
        <v>0</v>
      </c>
      <c r="L55" s="70"/>
      <c r="M55" s="70"/>
      <c r="N55" s="70"/>
      <c r="O55" s="130"/>
      <c r="P55" s="130"/>
      <c r="Q55" s="130"/>
      <c r="R55" s="130"/>
      <c r="S55" s="130"/>
      <c r="T55" s="125"/>
      <c r="U55" s="7">
        <f t="shared" si="35"/>
        <v>0</v>
      </c>
      <c r="V55" s="7">
        <f t="shared" si="36"/>
        <v>0</v>
      </c>
      <c r="W55" s="7">
        <f t="shared" si="37"/>
        <v>0</v>
      </c>
      <c r="X55" s="7">
        <f t="shared" si="38"/>
        <v>0</v>
      </c>
      <c r="Y55" s="7">
        <v>0</v>
      </c>
    </row>
    <row r="56" spans="1:25" x14ac:dyDescent="0.45">
      <c r="A56">
        <v>7</v>
      </c>
      <c r="B56" s="370" t="str">
        <f t="shared" si="26"/>
        <v>Machine rate ($/hr)</v>
      </c>
      <c r="C56" s="7">
        <f t="shared" si="27"/>
        <v>0</v>
      </c>
      <c r="D56" s="7">
        <f t="shared" si="28"/>
        <v>0</v>
      </c>
      <c r="E56" s="7">
        <f t="shared" si="29"/>
        <v>0</v>
      </c>
      <c r="F56" s="7">
        <f t="shared" si="30"/>
        <v>0</v>
      </c>
      <c r="G56" s="7">
        <f t="shared" si="31"/>
        <v>0</v>
      </c>
      <c r="H56" s="7">
        <f t="shared" si="32"/>
        <v>0</v>
      </c>
      <c r="I56" s="7">
        <f t="shared" si="33"/>
        <v>0</v>
      </c>
      <c r="J56" s="7">
        <f t="shared" si="34"/>
        <v>0</v>
      </c>
      <c r="L56" s="70"/>
      <c r="M56" s="70"/>
      <c r="N56" s="70"/>
      <c r="O56" s="130"/>
      <c r="P56" s="130"/>
      <c r="Q56" s="130"/>
      <c r="R56" s="130"/>
      <c r="S56" s="130"/>
      <c r="T56" s="125"/>
      <c r="U56" s="7">
        <f t="shared" si="35"/>
        <v>0</v>
      </c>
      <c r="V56" s="7">
        <f t="shared" si="36"/>
        <v>0</v>
      </c>
      <c r="W56" s="7">
        <f t="shared" si="37"/>
        <v>0</v>
      </c>
      <c r="X56" s="7">
        <f t="shared" si="38"/>
        <v>0</v>
      </c>
      <c r="Y56" s="7">
        <v>0</v>
      </c>
    </row>
    <row r="57" spans="1:25" x14ac:dyDescent="0.45">
      <c r="A57">
        <v>8</v>
      </c>
      <c r="B57" s="370" t="str">
        <f t="shared" si="26"/>
        <v>Tree protection fencing ($)</v>
      </c>
      <c r="C57" s="7">
        <f t="shared" si="27"/>
        <v>0</v>
      </c>
      <c r="D57" s="7">
        <f t="shared" si="28"/>
        <v>0</v>
      </c>
      <c r="E57" s="7">
        <f t="shared" si="29"/>
        <v>0</v>
      </c>
      <c r="F57" s="7">
        <f t="shared" si="30"/>
        <v>0</v>
      </c>
      <c r="G57" s="7">
        <f t="shared" si="31"/>
        <v>0</v>
      </c>
      <c r="H57" s="7">
        <f t="shared" si="32"/>
        <v>0</v>
      </c>
      <c r="I57" s="7">
        <f t="shared" si="33"/>
        <v>0</v>
      </c>
      <c r="J57" s="7">
        <f t="shared" si="34"/>
        <v>0</v>
      </c>
      <c r="L57" s="70"/>
      <c r="M57" s="70"/>
      <c r="N57" s="70"/>
      <c r="O57" s="130"/>
      <c r="P57" s="130"/>
      <c r="Q57" s="130"/>
      <c r="R57" s="130"/>
      <c r="S57" s="130"/>
      <c r="T57" s="125"/>
      <c r="U57" s="7">
        <f t="shared" si="35"/>
        <v>0</v>
      </c>
      <c r="V57" s="7">
        <f t="shared" si="36"/>
        <v>0</v>
      </c>
      <c r="W57" s="7">
        <f t="shared" si="37"/>
        <v>0</v>
      </c>
      <c r="X57" s="7">
        <f t="shared" si="38"/>
        <v>0</v>
      </c>
      <c r="Y57" s="7">
        <v>0</v>
      </c>
    </row>
    <row r="58" spans="1:25" x14ac:dyDescent="0.45">
      <c r="A58">
        <v>9</v>
      </c>
      <c r="B58" s="370" t="str">
        <f t="shared" si="26"/>
        <v>Tree removal ($/tree)</v>
      </c>
      <c r="C58" s="7">
        <f t="shared" si="27"/>
        <v>0</v>
      </c>
      <c r="D58" s="7">
        <f t="shared" si="28"/>
        <v>0</v>
      </c>
      <c r="E58" s="7">
        <f t="shared" si="29"/>
        <v>0</v>
      </c>
      <c r="F58" s="7">
        <f t="shared" si="30"/>
        <v>0</v>
      </c>
      <c r="G58" s="7">
        <f t="shared" si="31"/>
        <v>0</v>
      </c>
      <c r="H58" s="7">
        <f t="shared" si="32"/>
        <v>0</v>
      </c>
      <c r="I58" s="7">
        <f t="shared" si="33"/>
        <v>0</v>
      </c>
      <c r="J58" s="7">
        <f t="shared" si="34"/>
        <v>0</v>
      </c>
      <c r="L58" s="70"/>
      <c r="M58" s="70"/>
      <c r="N58" s="70"/>
      <c r="O58" s="130"/>
      <c r="P58" s="130"/>
      <c r="Q58" s="130"/>
      <c r="R58" s="130"/>
      <c r="S58" s="130"/>
      <c r="T58" s="125"/>
      <c r="U58" s="7">
        <f t="shared" si="35"/>
        <v>0</v>
      </c>
      <c r="V58" s="7">
        <f t="shared" si="36"/>
        <v>0</v>
      </c>
      <c r="W58" s="7">
        <f t="shared" si="37"/>
        <v>0</v>
      </c>
      <c r="X58" s="7">
        <f t="shared" si="38"/>
        <v>0</v>
      </c>
      <c r="Y58" s="7">
        <v>0</v>
      </c>
    </row>
    <row r="59" spans="1:25" x14ac:dyDescent="0.45">
      <c r="A59">
        <v>10</v>
      </c>
      <c r="B59" s="370" t="str">
        <f t="shared" si="26"/>
        <v>Soil cost ($/m3)</v>
      </c>
      <c r="C59" s="7">
        <f t="shared" si="27"/>
        <v>0</v>
      </c>
      <c r="D59" s="7">
        <f t="shared" si="28"/>
        <v>0</v>
      </c>
      <c r="E59" s="7">
        <f t="shared" si="29"/>
        <v>0</v>
      </c>
      <c r="F59" s="7">
        <f t="shared" si="30"/>
        <v>0</v>
      </c>
      <c r="G59" s="7">
        <f t="shared" si="31"/>
        <v>0</v>
      </c>
      <c r="H59" s="7">
        <f t="shared" si="32"/>
        <v>0</v>
      </c>
      <c r="I59" s="7">
        <f t="shared" si="33"/>
        <v>0</v>
      </c>
      <c r="J59" s="7">
        <f t="shared" si="34"/>
        <v>0</v>
      </c>
      <c r="L59" s="70"/>
      <c r="M59" s="70"/>
      <c r="N59" s="70"/>
      <c r="O59" s="130"/>
      <c r="P59" s="130"/>
      <c r="Q59" s="130"/>
      <c r="R59" s="130"/>
      <c r="S59" s="130"/>
      <c r="T59" s="125"/>
      <c r="U59" s="7">
        <f t="shared" si="35"/>
        <v>0</v>
      </c>
      <c r="V59" s="7">
        <f t="shared" si="36"/>
        <v>0</v>
      </c>
      <c r="W59" s="7">
        <f t="shared" si="37"/>
        <v>0</v>
      </c>
      <c r="X59" s="7">
        <f t="shared" si="38"/>
        <v>0</v>
      </c>
      <c r="Y59" s="7">
        <v>0</v>
      </c>
    </row>
    <row r="60" spans="1:25" x14ac:dyDescent="0.45">
      <c r="A60">
        <v>11</v>
      </c>
      <c r="B60" s="370" t="str">
        <f t="shared" si="26"/>
        <v>Maintenance in year 1 ($/tree)</v>
      </c>
      <c r="C60" s="7">
        <f t="shared" si="27"/>
        <v>0</v>
      </c>
      <c r="D60" s="7">
        <f t="shared" si="28"/>
        <v>0</v>
      </c>
      <c r="E60" s="7">
        <f t="shared" si="29"/>
        <v>0</v>
      </c>
      <c r="F60" s="7">
        <f t="shared" si="30"/>
        <v>0</v>
      </c>
      <c r="G60" s="7">
        <f t="shared" si="31"/>
        <v>0</v>
      </c>
      <c r="H60" s="7">
        <f t="shared" si="32"/>
        <v>0</v>
      </c>
      <c r="I60" s="7">
        <f t="shared" si="33"/>
        <v>0</v>
      </c>
      <c r="J60" s="7">
        <f t="shared" si="34"/>
        <v>0</v>
      </c>
      <c r="L60" s="70"/>
      <c r="M60" s="70"/>
      <c r="N60" s="70"/>
      <c r="O60" s="130"/>
      <c r="P60" s="130"/>
      <c r="Q60" s="130"/>
      <c r="R60" s="130"/>
      <c r="S60" s="130"/>
      <c r="T60" s="125"/>
      <c r="U60" s="7">
        <f t="shared" si="35"/>
        <v>0</v>
      </c>
      <c r="V60" s="7">
        <f t="shared" si="36"/>
        <v>0</v>
      </c>
      <c r="W60" s="7">
        <f t="shared" si="37"/>
        <v>0</v>
      </c>
      <c r="X60" s="7">
        <f t="shared" si="38"/>
        <v>0</v>
      </c>
      <c r="Y60" s="7">
        <v>0</v>
      </c>
    </row>
    <row r="61" spans="1:25" x14ac:dyDescent="0.45">
      <c r="A61">
        <v>12</v>
      </c>
      <c r="B61" s="370" t="str">
        <f t="shared" si="26"/>
        <v>Maintenance in year 2 ($/tree)</v>
      </c>
      <c r="C61" s="7">
        <f t="shared" si="27"/>
        <v>0</v>
      </c>
      <c r="D61" s="7">
        <f t="shared" si="28"/>
        <v>0</v>
      </c>
      <c r="E61" s="7">
        <f t="shared" si="29"/>
        <v>0</v>
      </c>
      <c r="F61" s="7">
        <f t="shared" si="30"/>
        <v>0</v>
      </c>
      <c r="G61" s="7">
        <f t="shared" si="31"/>
        <v>0</v>
      </c>
      <c r="H61" s="7">
        <f t="shared" si="32"/>
        <v>0</v>
      </c>
      <c r="I61" s="7">
        <f t="shared" si="33"/>
        <v>0</v>
      </c>
      <c r="J61" s="7">
        <f t="shared" si="34"/>
        <v>0</v>
      </c>
      <c r="L61" s="70"/>
      <c r="M61" s="70"/>
      <c r="N61" s="70"/>
      <c r="O61" s="130"/>
      <c r="P61" s="130"/>
      <c r="Q61" s="130"/>
      <c r="R61" s="130"/>
      <c r="S61" s="130"/>
      <c r="T61" s="125"/>
      <c r="U61" s="7">
        <f t="shared" si="35"/>
        <v>0</v>
      </c>
      <c r="V61" s="7">
        <f t="shared" si="36"/>
        <v>0</v>
      </c>
      <c r="W61" s="7">
        <f t="shared" si="37"/>
        <v>0</v>
      </c>
      <c r="X61" s="7">
        <f t="shared" si="38"/>
        <v>0</v>
      </c>
      <c r="Y61" s="7">
        <v>0</v>
      </c>
    </row>
    <row r="62" spans="1:25" x14ac:dyDescent="0.45">
      <c r="A62">
        <v>13</v>
      </c>
      <c r="B62" s="370" t="str">
        <f t="shared" si="26"/>
        <v>Maintenance in year 3 and onwards (annual $/tree)</v>
      </c>
      <c r="C62" s="7">
        <f>IF(L62&gt;0.00000001,L62,0)</f>
        <v>0</v>
      </c>
      <c r="D62" s="7">
        <f>IF(U62&gt;0.00000001,U62,0)</f>
        <v>0</v>
      </c>
      <c r="E62" s="7">
        <f>IF(V62&gt;0.00000001,V62,0)</f>
        <v>0</v>
      </c>
      <c r="F62" s="7">
        <f>IF(M62&gt;0.00000001,M62,0)</f>
        <v>0</v>
      </c>
      <c r="G62" s="7">
        <f>IF(W62&gt;0.00000001,W62,0)</f>
        <v>0</v>
      </c>
      <c r="H62" s="7">
        <f>IF(X62&gt;0.00000001,X62,0)</f>
        <v>0</v>
      </c>
      <c r="I62" s="7">
        <f>IF(N62&gt;0.00000001,N62,0)</f>
        <v>0</v>
      </c>
      <c r="J62" s="7">
        <f>IF(Y62&gt;0.00000001,X62,0)</f>
        <v>0</v>
      </c>
      <c r="L62" s="70"/>
      <c r="M62" s="70"/>
      <c r="N62" s="70"/>
      <c r="O62" s="130"/>
      <c r="P62" s="130"/>
      <c r="Q62" s="130"/>
      <c r="R62" s="130"/>
      <c r="S62" s="130"/>
      <c r="T62" s="125"/>
      <c r="U62" s="7">
        <f t="shared" si="35"/>
        <v>0</v>
      </c>
      <c r="V62" s="7">
        <f t="shared" si="36"/>
        <v>0</v>
      </c>
      <c r="W62" s="7">
        <f t="shared" si="37"/>
        <v>0</v>
      </c>
      <c r="X62" s="7">
        <f t="shared" si="38"/>
        <v>0</v>
      </c>
      <c r="Y62" s="7">
        <v>0</v>
      </c>
    </row>
    <row r="63" spans="1:25" x14ac:dyDescent="0.45">
      <c r="A63">
        <v>14</v>
      </c>
      <c r="B63" s="370" t="str">
        <f t="shared" si="26"/>
        <v>Traffic control cost ($)</v>
      </c>
      <c r="C63" s="7">
        <f t="shared" si="27"/>
        <v>0</v>
      </c>
      <c r="D63" s="7">
        <f t="shared" si="28"/>
        <v>0</v>
      </c>
      <c r="E63" s="7">
        <f t="shared" si="29"/>
        <v>0</v>
      </c>
      <c r="F63" s="7">
        <f t="shared" si="30"/>
        <v>0</v>
      </c>
      <c r="G63" s="7">
        <f t="shared" si="31"/>
        <v>0</v>
      </c>
      <c r="H63" s="7">
        <f t="shared" si="32"/>
        <v>0</v>
      </c>
      <c r="I63" s="7">
        <f t="shared" si="33"/>
        <v>0</v>
      </c>
      <c r="J63" s="7">
        <f t="shared" si="34"/>
        <v>0</v>
      </c>
      <c r="L63" s="70"/>
      <c r="M63" s="70"/>
      <c r="N63" s="70"/>
      <c r="O63" s="130"/>
      <c r="P63" s="130"/>
      <c r="Q63" s="130"/>
      <c r="R63" s="130"/>
      <c r="S63" s="130"/>
      <c r="T63" s="125"/>
      <c r="U63" s="7">
        <f t="shared" si="35"/>
        <v>0</v>
      </c>
      <c r="V63" s="7">
        <f t="shared" si="36"/>
        <v>0</v>
      </c>
      <c r="W63" s="7">
        <f t="shared" si="37"/>
        <v>0</v>
      </c>
      <c r="X63" s="7">
        <f t="shared" si="38"/>
        <v>0</v>
      </c>
      <c r="Y63" s="7">
        <v>0</v>
      </c>
    </row>
    <row r="64" spans="1:25" x14ac:dyDescent="0.45">
      <c r="A64">
        <v>15</v>
      </c>
      <c r="B64" s="370" t="str">
        <f t="shared" si="26"/>
        <v>Guard rails ($)</v>
      </c>
      <c r="C64" s="7">
        <f t="shared" si="27"/>
        <v>0</v>
      </c>
      <c r="D64" s="7">
        <f t="shared" si="28"/>
        <v>0</v>
      </c>
      <c r="E64" s="7">
        <f t="shared" si="29"/>
        <v>0</v>
      </c>
      <c r="F64" s="7">
        <f t="shared" si="30"/>
        <v>0</v>
      </c>
      <c r="G64" s="7">
        <f t="shared" si="31"/>
        <v>0</v>
      </c>
      <c r="H64" s="73">
        <f t="shared" si="32"/>
        <v>0</v>
      </c>
      <c r="I64" s="7">
        <f t="shared" si="33"/>
        <v>0</v>
      </c>
      <c r="J64" s="7">
        <f t="shared" si="34"/>
        <v>0</v>
      </c>
      <c r="L64" s="70"/>
      <c r="M64" s="70"/>
      <c r="N64" s="70"/>
      <c r="O64" s="130"/>
      <c r="P64" s="130"/>
      <c r="Q64" s="130"/>
      <c r="R64" s="130"/>
      <c r="S64" s="130"/>
      <c r="T64" s="125"/>
      <c r="U64" s="7">
        <f t="shared" si="35"/>
        <v>0</v>
      </c>
      <c r="V64" s="7">
        <f t="shared" si="36"/>
        <v>0</v>
      </c>
      <c r="W64" s="7">
        <f t="shared" si="37"/>
        <v>0</v>
      </c>
      <c r="X64" s="7">
        <f t="shared" si="38"/>
        <v>0</v>
      </c>
      <c r="Y64" s="7">
        <v>0</v>
      </c>
    </row>
    <row r="65" spans="1:25" x14ac:dyDescent="0.45">
      <c r="A65">
        <v>16</v>
      </c>
      <c r="B65" s="370" t="str">
        <f t="shared" si="26"/>
        <v>Arborist tree health inspection ($/tree)</v>
      </c>
      <c r="C65" s="7">
        <f>IF(L65&gt;0.00000001,L65,0)</f>
        <v>0</v>
      </c>
      <c r="D65" s="7">
        <f t="shared" si="28"/>
        <v>0</v>
      </c>
      <c r="E65" s="7">
        <f t="shared" si="29"/>
        <v>0</v>
      </c>
      <c r="F65" s="7">
        <f t="shared" si="30"/>
        <v>0</v>
      </c>
      <c r="G65" s="7">
        <f t="shared" si="31"/>
        <v>0</v>
      </c>
      <c r="H65" s="7">
        <f t="shared" si="32"/>
        <v>0</v>
      </c>
      <c r="I65" s="7">
        <f t="shared" si="33"/>
        <v>0</v>
      </c>
      <c r="J65" s="7">
        <f t="shared" si="34"/>
        <v>0</v>
      </c>
      <c r="L65" s="70"/>
      <c r="M65" s="70"/>
      <c r="N65" s="70"/>
      <c r="O65" s="130"/>
      <c r="P65" s="130"/>
      <c r="Q65" s="130"/>
      <c r="R65" s="130"/>
      <c r="S65" s="130"/>
      <c r="T65" s="125"/>
      <c r="U65" s="7">
        <f t="shared" si="35"/>
        <v>0</v>
      </c>
      <c r="V65" s="7">
        <f t="shared" si="36"/>
        <v>0</v>
      </c>
      <c r="W65" s="7">
        <f t="shared" si="37"/>
        <v>0</v>
      </c>
      <c r="X65" s="7">
        <f t="shared" si="38"/>
        <v>0</v>
      </c>
      <c r="Y65" s="7">
        <v>0</v>
      </c>
    </row>
    <row r="66" spans="1:25" x14ac:dyDescent="0.45">
      <c r="A66">
        <v>17</v>
      </c>
      <c r="B66" s="370" t="str">
        <f t="shared" si="26"/>
        <v>GIS mapping and inventory assessment ($)</v>
      </c>
      <c r="C66" s="7">
        <f t="shared" ref="C66:C72" si="39">IF(L66&gt;0.00000001,L66,0)</f>
        <v>0</v>
      </c>
      <c r="D66" s="7">
        <f t="shared" ref="D66:D72" si="40">IF(U66&gt;0.00000001,U66,0)</f>
        <v>0</v>
      </c>
      <c r="E66" s="7">
        <f t="shared" ref="E66:E72" si="41">IF(V66&gt;0.00000001,V66,0)</f>
        <v>0</v>
      </c>
      <c r="F66" s="7">
        <f t="shared" ref="F66:F72" si="42">IF(M66&gt;0.00000001,M66,0)</f>
        <v>0</v>
      </c>
      <c r="G66" s="7">
        <f t="shared" ref="G66:G72" si="43">IF(W66&gt;0.00000001,W66,0)</f>
        <v>0</v>
      </c>
      <c r="H66" s="7">
        <f t="shared" ref="H66:H72" si="44">IF(X66&gt;0.00000001,X66,0)</f>
        <v>0</v>
      </c>
      <c r="I66" s="7">
        <f t="shared" ref="I66:I72" si="45">IF(N66&gt;0.00000001,N66,0)</f>
        <v>0</v>
      </c>
      <c r="J66" s="7">
        <f t="shared" ref="J66:J72" si="46">IF(Y66&gt;0.00000001,X66,0)</f>
        <v>0</v>
      </c>
      <c r="L66" s="70"/>
      <c r="M66" s="70"/>
      <c r="N66" s="70"/>
      <c r="O66" s="130"/>
      <c r="P66" s="130"/>
      <c r="Q66" s="130"/>
      <c r="R66" s="130"/>
      <c r="S66" s="130"/>
      <c r="T66" s="125"/>
      <c r="U66" s="7">
        <f t="shared" si="35"/>
        <v>0</v>
      </c>
      <c r="V66" s="7">
        <f t="shared" si="36"/>
        <v>0</v>
      </c>
      <c r="W66" s="7">
        <f t="shared" si="37"/>
        <v>0</v>
      </c>
      <c r="X66" s="7">
        <f t="shared" si="38"/>
        <v>0</v>
      </c>
      <c r="Y66" s="7">
        <v>0</v>
      </c>
    </row>
    <row r="67" spans="1:25" x14ac:dyDescent="0.45">
      <c r="A67">
        <v>18</v>
      </c>
      <c r="B67" s="370" t="str">
        <f t="shared" si="26"/>
        <v>Watering ($/tree per visit)</v>
      </c>
      <c r="C67" s="7">
        <f t="shared" si="39"/>
        <v>0</v>
      </c>
      <c r="D67" s="7">
        <f t="shared" si="40"/>
        <v>0</v>
      </c>
      <c r="E67" s="7">
        <f t="shared" si="41"/>
        <v>0</v>
      </c>
      <c r="F67" s="7">
        <f t="shared" si="42"/>
        <v>0</v>
      </c>
      <c r="G67" s="7">
        <f t="shared" si="43"/>
        <v>0</v>
      </c>
      <c r="H67" s="7">
        <f t="shared" si="44"/>
        <v>0</v>
      </c>
      <c r="I67" s="7">
        <f t="shared" si="45"/>
        <v>0</v>
      </c>
      <c r="J67" s="7">
        <f t="shared" si="46"/>
        <v>0</v>
      </c>
      <c r="L67" s="70"/>
      <c r="M67" s="70"/>
      <c r="N67" s="70"/>
      <c r="O67" s="130"/>
      <c r="P67" s="130"/>
      <c r="Q67" s="130"/>
      <c r="R67" s="130"/>
      <c r="S67" s="130"/>
      <c r="T67" s="125"/>
      <c r="U67" s="7">
        <f t="shared" si="35"/>
        <v>0</v>
      </c>
      <c r="V67" s="7">
        <f t="shared" si="36"/>
        <v>0</v>
      </c>
      <c r="W67" s="7">
        <f t="shared" si="37"/>
        <v>0</v>
      </c>
      <c r="X67" s="7">
        <f t="shared" si="38"/>
        <v>0</v>
      </c>
      <c r="Y67" s="7">
        <v>0</v>
      </c>
    </row>
    <row r="68" spans="1:25" x14ac:dyDescent="0.45">
      <c r="A68">
        <v>19</v>
      </c>
      <c r="B68" s="370" t="str">
        <f t="shared" si="26"/>
        <v>Strata cells/vault installation ($/tree)</v>
      </c>
      <c r="C68" s="7">
        <f t="shared" si="39"/>
        <v>0</v>
      </c>
      <c r="D68" s="7">
        <f t="shared" si="40"/>
        <v>0</v>
      </c>
      <c r="E68" s="7">
        <f t="shared" si="41"/>
        <v>0</v>
      </c>
      <c r="F68" s="7">
        <f t="shared" si="42"/>
        <v>0</v>
      </c>
      <c r="G68" s="7">
        <f t="shared" si="43"/>
        <v>0</v>
      </c>
      <c r="H68" s="7">
        <f t="shared" si="44"/>
        <v>0</v>
      </c>
      <c r="I68" s="7">
        <f t="shared" si="45"/>
        <v>0</v>
      </c>
      <c r="J68" s="7">
        <f t="shared" si="46"/>
        <v>0</v>
      </c>
      <c r="L68" s="70"/>
      <c r="M68" s="70"/>
      <c r="N68" s="70"/>
      <c r="O68" s="130"/>
      <c r="P68" s="130"/>
      <c r="Q68" s="130"/>
      <c r="R68" s="130"/>
      <c r="S68" s="130"/>
      <c r="T68" s="125"/>
      <c r="U68" s="7">
        <f t="shared" si="35"/>
        <v>0</v>
      </c>
      <c r="V68" s="7">
        <f t="shared" si="36"/>
        <v>0</v>
      </c>
      <c r="W68" s="7">
        <f t="shared" si="37"/>
        <v>0</v>
      </c>
      <c r="X68" s="7">
        <f t="shared" si="38"/>
        <v>0</v>
      </c>
      <c r="Y68" s="7">
        <v>0</v>
      </c>
    </row>
    <row r="69" spans="1:25" x14ac:dyDescent="0.45">
      <c r="A69">
        <v>20</v>
      </c>
      <c r="B69" s="370" t="str">
        <f t="shared" si="26"/>
        <v>Visual tree inspection ($/tree)</v>
      </c>
      <c r="C69" s="7">
        <f t="shared" si="39"/>
        <v>0</v>
      </c>
      <c r="D69" s="7">
        <f t="shared" si="40"/>
        <v>0</v>
      </c>
      <c r="E69" s="7">
        <f t="shared" si="41"/>
        <v>0</v>
      </c>
      <c r="F69" s="7">
        <f t="shared" si="42"/>
        <v>0</v>
      </c>
      <c r="G69" s="7">
        <f t="shared" si="43"/>
        <v>0</v>
      </c>
      <c r="H69" s="7">
        <f t="shared" si="44"/>
        <v>0</v>
      </c>
      <c r="I69" s="7">
        <f t="shared" si="45"/>
        <v>0</v>
      </c>
      <c r="J69" s="7">
        <f t="shared" si="46"/>
        <v>0</v>
      </c>
      <c r="L69" s="70"/>
      <c r="M69" s="70"/>
      <c r="N69" s="70"/>
      <c r="O69" s="130"/>
      <c r="P69" s="130"/>
      <c r="Q69" s="130"/>
      <c r="R69" s="130"/>
      <c r="S69" s="130"/>
      <c r="T69" s="125"/>
      <c r="U69" s="7">
        <f t="shared" si="35"/>
        <v>0</v>
      </c>
      <c r="V69" s="7">
        <f t="shared" si="36"/>
        <v>0</v>
      </c>
      <c r="W69" s="7">
        <f t="shared" si="37"/>
        <v>0</v>
      </c>
      <c r="X69" s="7">
        <f t="shared" si="38"/>
        <v>0</v>
      </c>
      <c r="Y69" s="7">
        <v>0</v>
      </c>
    </row>
    <row r="70" spans="1:25" x14ac:dyDescent="0.45">
      <c r="A70">
        <v>21</v>
      </c>
      <c r="B70" s="279" t="str">
        <f t="shared" si="26"/>
        <v>User specified cost item 1 ($/tree in Year 1 only)</v>
      </c>
      <c r="C70" s="7">
        <f t="shared" si="39"/>
        <v>0</v>
      </c>
      <c r="D70" s="7">
        <f t="shared" si="40"/>
        <v>0</v>
      </c>
      <c r="E70" s="7">
        <f t="shared" si="41"/>
        <v>0</v>
      </c>
      <c r="F70" s="7">
        <f t="shared" si="42"/>
        <v>0</v>
      </c>
      <c r="G70" s="7">
        <f t="shared" si="43"/>
        <v>0</v>
      </c>
      <c r="H70" s="7">
        <f t="shared" si="44"/>
        <v>0</v>
      </c>
      <c r="I70" s="7">
        <f t="shared" si="45"/>
        <v>0</v>
      </c>
      <c r="J70" s="7">
        <f t="shared" si="46"/>
        <v>0</v>
      </c>
      <c r="L70" s="70"/>
      <c r="M70" s="70"/>
      <c r="N70" s="70"/>
      <c r="O70" s="130"/>
      <c r="P70" s="130"/>
      <c r="Q70" s="130"/>
      <c r="R70" s="130"/>
      <c r="S70" s="130"/>
      <c r="T70" s="125"/>
      <c r="U70" s="7">
        <f t="shared" si="35"/>
        <v>0</v>
      </c>
      <c r="V70" s="7">
        <f t="shared" si="36"/>
        <v>0</v>
      </c>
      <c r="W70" s="7">
        <f t="shared" si="37"/>
        <v>0</v>
      </c>
      <c r="X70" s="7">
        <f t="shared" si="38"/>
        <v>0</v>
      </c>
      <c r="Y70" s="7">
        <v>0</v>
      </c>
    </row>
    <row r="71" spans="1:25" x14ac:dyDescent="0.45">
      <c r="A71">
        <v>22</v>
      </c>
      <c r="B71" s="279" t="str">
        <f t="shared" si="26"/>
        <v>User specified cost item 2 ($/tree per annum up to year 2)</v>
      </c>
      <c r="C71" s="7">
        <f t="shared" si="39"/>
        <v>0</v>
      </c>
      <c r="D71" s="7">
        <f t="shared" si="40"/>
        <v>0</v>
      </c>
      <c r="E71" s="7">
        <f t="shared" si="41"/>
        <v>0</v>
      </c>
      <c r="F71" s="7">
        <f t="shared" si="42"/>
        <v>0</v>
      </c>
      <c r="G71" s="7">
        <f t="shared" si="43"/>
        <v>0</v>
      </c>
      <c r="H71" s="7">
        <f t="shared" si="44"/>
        <v>0</v>
      </c>
      <c r="I71" s="7">
        <f t="shared" si="45"/>
        <v>0</v>
      </c>
      <c r="J71" s="7">
        <f t="shared" si="46"/>
        <v>0</v>
      </c>
      <c r="L71" s="70"/>
      <c r="M71" s="70"/>
      <c r="N71" s="70"/>
      <c r="O71" s="130"/>
      <c r="P71" s="130"/>
      <c r="Q71" s="130"/>
      <c r="R71" s="130"/>
      <c r="S71" s="130"/>
      <c r="T71" s="125"/>
      <c r="U71" s="7">
        <f t="shared" si="35"/>
        <v>0</v>
      </c>
      <c r="V71" s="7">
        <f t="shared" si="36"/>
        <v>0</v>
      </c>
      <c r="W71" s="7">
        <f t="shared" si="37"/>
        <v>0</v>
      </c>
      <c r="X71" s="7">
        <f t="shared" si="38"/>
        <v>0</v>
      </c>
      <c r="Y71" s="7">
        <v>0</v>
      </c>
    </row>
    <row r="72" spans="1:25" x14ac:dyDescent="0.45">
      <c r="A72">
        <v>23</v>
      </c>
      <c r="B72" s="279" t="str">
        <f t="shared" si="26"/>
        <v>User specified cost item 3 ($/tree per annum)</v>
      </c>
      <c r="C72" s="7">
        <f t="shared" si="39"/>
        <v>0</v>
      </c>
      <c r="D72" s="7">
        <f t="shared" si="40"/>
        <v>0</v>
      </c>
      <c r="E72" s="7">
        <f t="shared" si="41"/>
        <v>0</v>
      </c>
      <c r="F72" s="7">
        <f t="shared" si="42"/>
        <v>0</v>
      </c>
      <c r="G72" s="7">
        <f t="shared" si="43"/>
        <v>0</v>
      </c>
      <c r="H72" s="7">
        <f t="shared" si="44"/>
        <v>0</v>
      </c>
      <c r="I72" s="7">
        <f t="shared" si="45"/>
        <v>0</v>
      </c>
      <c r="J72" s="7">
        <f t="shared" si="46"/>
        <v>0</v>
      </c>
      <c r="L72" s="70"/>
      <c r="M72" s="70"/>
      <c r="N72" s="70"/>
      <c r="O72" s="130"/>
      <c r="P72" s="130"/>
      <c r="Q72" s="130"/>
      <c r="R72" s="130"/>
      <c r="S72" s="130"/>
      <c r="T72" s="125"/>
      <c r="U72" s="7">
        <f t="shared" si="35"/>
        <v>0</v>
      </c>
      <c r="V72" s="7">
        <f t="shared" si="36"/>
        <v>0</v>
      </c>
      <c r="W72" s="7">
        <f t="shared" si="37"/>
        <v>0</v>
      </c>
      <c r="X72" s="7">
        <f t="shared" si="38"/>
        <v>0</v>
      </c>
      <c r="Y72" s="7">
        <v>0</v>
      </c>
    </row>
    <row r="73" spans="1:25" x14ac:dyDescent="0.45">
      <c r="A73">
        <v>24</v>
      </c>
      <c r="B73" s="279" t="str">
        <f t="shared" si="26"/>
        <v>User specified cost item 4 ($/tree per annum)</v>
      </c>
      <c r="C73" s="7">
        <f>IF(L73&gt;0.00000001,L73,0)</f>
        <v>0</v>
      </c>
      <c r="D73" s="7">
        <f t="shared" ref="D73:E75" si="47">IF(U73&gt;0.00000001,U73,0)</f>
        <v>0</v>
      </c>
      <c r="E73" s="7">
        <f t="shared" si="47"/>
        <v>0</v>
      </c>
      <c r="F73" s="7">
        <f>IF(M73&gt;0.00000001,M73,0)</f>
        <v>0</v>
      </c>
      <c r="G73" s="7">
        <f t="shared" ref="G73:H75" si="48">IF(W73&gt;0.00000001,W73,0)</f>
        <v>0</v>
      </c>
      <c r="H73" s="7">
        <f t="shared" si="48"/>
        <v>0</v>
      </c>
      <c r="I73" s="7">
        <f>IF(N73&gt;0.00000001,N73,0)</f>
        <v>0</v>
      </c>
      <c r="J73" s="7">
        <f>IF(Y73&gt;0.00000001,X73,0)</f>
        <v>0</v>
      </c>
      <c r="L73" s="70"/>
      <c r="M73" s="70"/>
      <c r="N73" s="70"/>
      <c r="O73" s="130"/>
      <c r="P73" s="130"/>
      <c r="Q73" s="130"/>
      <c r="R73" s="130"/>
      <c r="S73" s="130"/>
      <c r="T73" s="125"/>
      <c r="U73" s="7">
        <f t="shared" si="35"/>
        <v>0</v>
      </c>
      <c r="V73" s="7">
        <f t="shared" si="36"/>
        <v>0</v>
      </c>
      <c r="W73" s="7">
        <f t="shared" si="37"/>
        <v>0</v>
      </c>
      <c r="X73" s="7">
        <f t="shared" si="38"/>
        <v>0</v>
      </c>
      <c r="Y73" s="7">
        <v>0</v>
      </c>
    </row>
    <row r="74" spans="1:25" x14ac:dyDescent="0.45">
      <c r="A74">
        <v>25</v>
      </c>
      <c r="B74" s="279" t="str">
        <f t="shared" si="26"/>
        <v>User specified cost item 5 ($/tree per annum)</v>
      </c>
      <c r="C74" s="7">
        <f>IF(L74&gt;0.00000001,L74,0)</f>
        <v>0</v>
      </c>
      <c r="D74" s="7">
        <f t="shared" si="47"/>
        <v>0</v>
      </c>
      <c r="E74" s="7">
        <f t="shared" si="47"/>
        <v>0</v>
      </c>
      <c r="F74" s="7">
        <f>IF(M74&gt;0.00000001,M74,0)</f>
        <v>0</v>
      </c>
      <c r="G74" s="7">
        <f t="shared" si="48"/>
        <v>0</v>
      </c>
      <c r="H74" s="7">
        <f t="shared" si="48"/>
        <v>0</v>
      </c>
      <c r="I74" s="7">
        <f>IF(N74&gt;0.00000001,N74,0)</f>
        <v>0</v>
      </c>
      <c r="J74" s="7">
        <f>IF(Y74&gt;0.00000001,X74,0)</f>
        <v>0</v>
      </c>
      <c r="L74" s="70"/>
      <c r="M74" s="70"/>
      <c r="N74" s="70"/>
      <c r="O74" s="130"/>
      <c r="P74" s="130"/>
      <c r="Q74" s="130"/>
      <c r="R74" s="130"/>
      <c r="S74" s="130"/>
      <c r="T74" s="125"/>
      <c r="U74" s="7">
        <f t="shared" si="35"/>
        <v>0</v>
      </c>
      <c r="V74" s="7">
        <f t="shared" si="36"/>
        <v>0</v>
      </c>
      <c r="W74" s="7">
        <f t="shared" si="37"/>
        <v>0</v>
      </c>
      <c r="X74" s="7">
        <f t="shared" si="38"/>
        <v>0</v>
      </c>
      <c r="Y74" s="7">
        <v>0</v>
      </c>
    </row>
    <row r="75" spans="1:25" x14ac:dyDescent="0.45">
      <c r="A75">
        <v>26</v>
      </c>
      <c r="B75" s="279" t="str">
        <f t="shared" si="26"/>
        <v>User specified cost item 6 ($/tree per annum)</v>
      </c>
      <c r="C75" s="7">
        <f>IF(L75&gt;0.00000001,L75,0)</f>
        <v>0</v>
      </c>
      <c r="D75" s="7">
        <f t="shared" si="47"/>
        <v>0</v>
      </c>
      <c r="E75" s="7">
        <f t="shared" si="47"/>
        <v>0</v>
      </c>
      <c r="F75" s="7">
        <f>IF(M75&gt;0.00000001,M75,0)</f>
        <v>0</v>
      </c>
      <c r="G75" s="7">
        <f t="shared" si="48"/>
        <v>0</v>
      </c>
      <c r="H75" s="7">
        <f t="shared" si="48"/>
        <v>0</v>
      </c>
      <c r="I75" s="7">
        <f>IF(N75&gt;0.00000001,N75,0)</f>
        <v>0</v>
      </c>
      <c r="J75" s="7">
        <f>IF(Y75&gt;0.00000001,X75,0)</f>
        <v>0</v>
      </c>
      <c r="L75" s="70"/>
      <c r="M75" s="70"/>
      <c r="N75" s="70"/>
      <c r="O75" s="130"/>
      <c r="P75" s="130"/>
      <c r="Q75" s="130"/>
      <c r="R75" s="130"/>
      <c r="S75" s="130"/>
      <c r="T75" s="125"/>
      <c r="U75" s="7">
        <f t="shared" si="35"/>
        <v>0</v>
      </c>
      <c r="V75" s="7">
        <f t="shared" si="36"/>
        <v>0</v>
      </c>
      <c r="W75" s="7">
        <f t="shared" si="37"/>
        <v>0</v>
      </c>
      <c r="X75" s="7">
        <f t="shared" si="38"/>
        <v>0</v>
      </c>
      <c r="Y75" s="7">
        <v>0</v>
      </c>
    </row>
    <row r="76" spans="1:25" x14ac:dyDescent="0.45">
      <c r="B76" s="90"/>
      <c r="K76" s="67"/>
      <c r="L76" s="67"/>
      <c r="M76" s="67"/>
      <c r="N76" s="67"/>
      <c r="O76" s="67"/>
      <c r="P76" s="67"/>
      <c r="Q76" s="67"/>
      <c r="R76" s="67"/>
      <c r="S76" s="67"/>
      <c r="T76" s="67"/>
      <c r="U76" s="67"/>
      <c r="V76" s="67"/>
      <c r="W76" s="67"/>
      <c r="X76" s="67"/>
      <c r="Y76" s="67"/>
    </row>
    <row r="77" spans="1:25" x14ac:dyDescent="0.45">
      <c r="B77" s="90"/>
      <c r="D77" s="72"/>
      <c r="E77" s="72"/>
      <c r="F77" s="72"/>
      <c r="G77" s="72"/>
      <c r="H77" s="72"/>
    </row>
    <row r="78" spans="1:25" ht="14.65" thickBot="1" x14ac:dyDescent="0.5">
      <c r="B78" s="90"/>
      <c r="C78" s="380" t="s">
        <v>9</v>
      </c>
      <c r="D78" s="380"/>
      <c r="E78" s="380"/>
      <c r="F78" s="380"/>
      <c r="G78" s="380"/>
      <c r="H78" s="380"/>
      <c r="I78" s="380"/>
      <c r="J78" s="380"/>
      <c r="L78" s="380" t="str">
        <f>Input_Data!C64</f>
        <v>Volume 250L</v>
      </c>
      <c r="M78" s="380"/>
      <c r="N78" s="380"/>
      <c r="O78" s="128"/>
      <c r="P78" s="128"/>
      <c r="Q78" s="128"/>
      <c r="R78" s="128"/>
      <c r="S78" s="128"/>
      <c r="T78" s="123"/>
      <c r="U78" s="123"/>
      <c r="V78" s="123"/>
      <c r="W78" s="123"/>
      <c r="X78" s="123"/>
      <c r="Y78" s="123"/>
    </row>
    <row r="79" spans="1:25" ht="14.65" hidden="1" thickBot="1" x14ac:dyDescent="0.5">
      <c r="B79" s="90">
        <v>1</v>
      </c>
      <c r="C79" s="75">
        <v>2</v>
      </c>
      <c r="D79" s="75">
        <v>3</v>
      </c>
      <c r="E79" s="75">
        <v>4</v>
      </c>
      <c r="F79" s="75">
        <v>5</v>
      </c>
      <c r="G79" s="75">
        <v>6</v>
      </c>
      <c r="H79" s="75">
        <v>7</v>
      </c>
      <c r="I79" s="75">
        <v>8</v>
      </c>
      <c r="J79" s="75">
        <v>9</v>
      </c>
      <c r="K79" s="68">
        <v>10</v>
      </c>
      <c r="L79" s="68">
        <v>11</v>
      </c>
      <c r="M79" s="68">
        <v>12</v>
      </c>
      <c r="N79" s="68">
        <v>13</v>
      </c>
      <c r="O79" s="129"/>
      <c r="P79" s="129"/>
      <c r="Q79" s="129"/>
      <c r="R79" s="129"/>
      <c r="S79" s="129"/>
      <c r="T79" s="113"/>
      <c r="U79" s="68">
        <v>14</v>
      </c>
      <c r="V79" s="68">
        <v>15</v>
      </c>
      <c r="W79" s="68">
        <v>16</v>
      </c>
      <c r="X79" s="68">
        <v>17</v>
      </c>
      <c r="Y79" s="68">
        <v>18</v>
      </c>
    </row>
    <row r="80" spans="1:25" ht="14.65" thickBot="1" x14ac:dyDescent="0.5">
      <c r="B80" s="369" t="str">
        <f>B49</f>
        <v>Item/Activity</v>
      </c>
      <c r="C80" s="11" t="str">
        <f>C49</f>
        <v>p0</v>
      </c>
      <c r="D80" s="11" t="str">
        <f t="shared" ref="D80:J80" si="49">D49</f>
        <v>p5</v>
      </c>
      <c r="E80" s="11" t="str">
        <f t="shared" si="49"/>
        <v>p25</v>
      </c>
      <c r="F80" s="11" t="str">
        <f t="shared" si="49"/>
        <v>p50</v>
      </c>
      <c r="G80" s="11" t="str">
        <f t="shared" si="49"/>
        <v>p75</v>
      </c>
      <c r="H80" s="11" t="str">
        <f t="shared" si="49"/>
        <v>p95</v>
      </c>
      <c r="I80" s="11" t="str">
        <f t="shared" si="49"/>
        <v>p100</v>
      </c>
      <c r="J80" s="11" t="str">
        <f t="shared" si="49"/>
        <v>N/A</v>
      </c>
      <c r="L80" s="11" t="str">
        <f>L49</f>
        <v>Low</v>
      </c>
      <c r="M80" s="11" t="str">
        <f t="shared" ref="M80:Y80" si="50">M49</f>
        <v>Most likely</v>
      </c>
      <c r="N80" s="11" t="str">
        <f t="shared" si="50"/>
        <v>Highest</v>
      </c>
      <c r="O80" s="129"/>
      <c r="P80" s="129"/>
      <c r="Q80" s="129"/>
      <c r="R80" s="129"/>
      <c r="S80" s="129"/>
      <c r="T80" s="126"/>
      <c r="U80" s="11" t="str">
        <f t="shared" si="50"/>
        <v>p5</v>
      </c>
      <c r="V80" s="11" t="str">
        <f t="shared" si="50"/>
        <v>p25</v>
      </c>
      <c r="W80" s="11" t="str">
        <f t="shared" si="50"/>
        <v>p75</v>
      </c>
      <c r="X80" s="11" t="str">
        <f t="shared" si="50"/>
        <v>p95</v>
      </c>
      <c r="Y80" s="11" t="str">
        <f t="shared" si="50"/>
        <v>N/A</v>
      </c>
    </row>
    <row r="81" spans="1:25" x14ac:dyDescent="0.45">
      <c r="A81">
        <v>1</v>
      </c>
      <c r="B81" s="370" t="str">
        <f t="shared" ref="B81:B93" si="51">B50</f>
        <v>Concrete cutting ($)</v>
      </c>
      <c r="C81" s="12">
        <f>IF(L81&gt;0.00000001,L81,0)</f>
        <v>0</v>
      </c>
      <c r="D81" s="12">
        <f>IF(U81&gt;0.00000001,U81,0)</f>
        <v>0</v>
      </c>
      <c r="E81" s="12">
        <f>IF(V81&gt;0.00000001,V81,0)</f>
        <v>0</v>
      </c>
      <c r="F81" s="12">
        <f>IF(M81&gt;0.00000001,M81,0)</f>
        <v>0</v>
      </c>
      <c r="G81" s="12">
        <f>IF(W81&gt;0.00000001,W81,0)</f>
        <v>0</v>
      </c>
      <c r="H81" s="12">
        <f>IF(N81&gt;0.00000001,X81,0)</f>
        <v>0</v>
      </c>
      <c r="I81" s="12">
        <f>IF(N81&gt;0.00000001,N81,0)</f>
        <v>0</v>
      </c>
      <c r="J81" s="12">
        <f>IF(Y81&gt;0.00000001,X81,0)</f>
        <v>0</v>
      </c>
      <c r="L81" s="71"/>
      <c r="M81" s="71"/>
      <c r="N81" s="71"/>
      <c r="O81" s="130"/>
      <c r="P81" s="130"/>
      <c r="Q81" s="130"/>
      <c r="R81" s="130"/>
      <c r="S81" s="130"/>
      <c r="T81" s="127"/>
      <c r="U81" s="12">
        <f>IF(M81&gt;1,_xlfn.PERCENTILE.INC(L81:N81,0.05),0)</f>
        <v>0</v>
      </c>
      <c r="V81" s="12">
        <f>IF(M81&gt;1,_xlfn.PERCENTILE.INC(L81:N81,0.25),0)</f>
        <v>0</v>
      </c>
      <c r="W81" s="12">
        <f>IF(M81&gt;1,_xlfn.PERCENTILE.INC(L81:N81,0.75),0)</f>
        <v>0</v>
      </c>
      <c r="X81" s="12">
        <f>IF(M81&gt;1,_xlfn.PERCENTILE.INC(L81:N81,0.95),0)</f>
        <v>0</v>
      </c>
      <c r="Y81" s="12">
        <v>0</v>
      </c>
    </row>
    <row r="82" spans="1:25" x14ac:dyDescent="0.45">
      <c r="A82">
        <v>2</v>
      </c>
      <c r="B82" s="370" t="str">
        <f t="shared" si="51"/>
        <v>Supply ($)</v>
      </c>
      <c r="C82" s="12">
        <f t="shared" ref="C82:C95" si="52">IF(L82&gt;0.00000001,L82,0)</f>
        <v>0</v>
      </c>
      <c r="D82" s="12">
        <f>IF(U82&gt;0.00000001,U82,0)</f>
        <v>0</v>
      </c>
      <c r="E82" s="12">
        <f t="shared" ref="E82:E95" si="53">IF(V82&gt;0.00000001,V82,0)</f>
        <v>0</v>
      </c>
      <c r="F82" s="12">
        <f t="shared" ref="F82:F95" si="54">IF(M82&gt;0.00000001,M82,0)</f>
        <v>0</v>
      </c>
      <c r="G82" s="12">
        <f t="shared" ref="G82:G95" si="55">IF(W82&gt;0.00000001,W82,0)</f>
        <v>0</v>
      </c>
      <c r="H82" s="12">
        <f t="shared" ref="H82:H95" si="56">IF(X82&gt;0.00000001,X82,0)</f>
        <v>0</v>
      </c>
      <c r="I82" s="12">
        <f t="shared" ref="I82:I95" si="57">IF(N82&gt;0.00000001,N82,0)</f>
        <v>0</v>
      </c>
      <c r="J82" s="12">
        <f t="shared" ref="J82:J95" si="58">IF(Y82&gt;0.00000001,X82,0)</f>
        <v>0</v>
      </c>
      <c r="L82" s="71"/>
      <c r="M82" s="71"/>
      <c r="N82" s="71"/>
      <c r="O82" s="130"/>
      <c r="P82" s="130"/>
      <c r="Q82" s="130"/>
      <c r="R82" s="130"/>
      <c r="S82" s="130"/>
      <c r="T82" s="127"/>
      <c r="U82" s="12">
        <f t="shared" ref="U82:U106" si="59">IF(M82&gt;1,_xlfn.PERCENTILE.INC(L82:N82,0.05),0)</f>
        <v>0</v>
      </c>
      <c r="V82" s="12">
        <f t="shared" ref="V82:V106" si="60">IF(M82&gt;1,_xlfn.PERCENTILE.INC(L82:N82,0.25),0)</f>
        <v>0</v>
      </c>
      <c r="W82" s="12">
        <f t="shared" ref="W82:W106" si="61">IF(M82&gt;1,_xlfn.PERCENTILE.INC(L82:N82,0.75),0)</f>
        <v>0</v>
      </c>
      <c r="X82" s="12">
        <f t="shared" ref="X82:X106" si="62">IF(M82&gt;1,_xlfn.PERCENTILE.INC(L82:N82,0.95),0)</f>
        <v>0</v>
      </c>
      <c r="Y82" s="12">
        <v>0</v>
      </c>
    </row>
    <row r="83" spans="1:25" x14ac:dyDescent="0.45">
      <c r="A83">
        <v>3</v>
      </c>
      <c r="B83" s="370" t="str">
        <f t="shared" si="51"/>
        <v>Tree installation ($)</v>
      </c>
      <c r="C83" s="12">
        <f t="shared" si="52"/>
        <v>0</v>
      </c>
      <c r="D83" s="12">
        <f>IF(U83&gt;0.00000001,U83,0)</f>
        <v>0</v>
      </c>
      <c r="E83" s="12">
        <f t="shared" si="53"/>
        <v>0</v>
      </c>
      <c r="F83" s="12">
        <f t="shared" si="54"/>
        <v>0</v>
      </c>
      <c r="G83" s="12">
        <f t="shared" si="55"/>
        <v>0</v>
      </c>
      <c r="H83" s="12">
        <f t="shared" si="56"/>
        <v>0</v>
      </c>
      <c r="I83" s="12">
        <f t="shared" si="57"/>
        <v>0</v>
      </c>
      <c r="J83" s="12">
        <f t="shared" si="58"/>
        <v>0</v>
      </c>
      <c r="L83" s="71"/>
      <c r="M83" s="71"/>
      <c r="N83" s="71"/>
      <c r="O83" s="130"/>
      <c r="P83" s="130"/>
      <c r="Q83" s="130"/>
      <c r="R83" s="130"/>
      <c r="S83" s="130"/>
      <c r="T83" s="127"/>
      <c r="U83" s="12">
        <f t="shared" si="59"/>
        <v>0</v>
      </c>
      <c r="V83" s="12">
        <f t="shared" si="60"/>
        <v>0</v>
      </c>
      <c r="W83" s="12">
        <f t="shared" si="61"/>
        <v>0</v>
      </c>
      <c r="X83" s="12">
        <f t="shared" si="62"/>
        <v>0</v>
      </c>
      <c r="Y83" s="12">
        <v>0</v>
      </c>
    </row>
    <row r="84" spans="1:25" x14ac:dyDescent="0.45">
      <c r="A84">
        <v>4</v>
      </c>
      <c r="B84" s="370" t="str">
        <f t="shared" si="51"/>
        <v>Mulch cost ($/m3)</v>
      </c>
      <c r="C84" s="12">
        <f t="shared" si="52"/>
        <v>0</v>
      </c>
      <c r="D84" s="12">
        <f t="shared" ref="D84:D95" si="63">IF(U84&gt;0.00000001,U84,0)</f>
        <v>0</v>
      </c>
      <c r="E84" s="12">
        <f t="shared" si="53"/>
        <v>0</v>
      </c>
      <c r="F84" s="12">
        <f t="shared" si="54"/>
        <v>0</v>
      </c>
      <c r="G84" s="12">
        <f t="shared" si="55"/>
        <v>0</v>
      </c>
      <c r="H84" s="12">
        <f t="shared" si="56"/>
        <v>0</v>
      </c>
      <c r="I84" s="12">
        <f t="shared" si="57"/>
        <v>0</v>
      </c>
      <c r="J84" s="12">
        <f t="shared" si="58"/>
        <v>0</v>
      </c>
      <c r="L84" s="71"/>
      <c r="M84" s="71"/>
      <c r="N84" s="71"/>
      <c r="O84" s="130"/>
      <c r="P84" s="130"/>
      <c r="Q84" s="130"/>
      <c r="R84" s="130"/>
      <c r="S84" s="130"/>
      <c r="T84" s="127"/>
      <c r="U84" s="12">
        <f t="shared" si="59"/>
        <v>0</v>
      </c>
      <c r="V84" s="12">
        <f t="shared" si="60"/>
        <v>0</v>
      </c>
      <c r="W84" s="12">
        <f t="shared" si="61"/>
        <v>0</v>
      </c>
      <c r="X84" s="12">
        <f t="shared" si="62"/>
        <v>0</v>
      </c>
      <c r="Y84" s="12">
        <v>0</v>
      </c>
    </row>
    <row r="85" spans="1:25" x14ac:dyDescent="0.45">
      <c r="A85">
        <v>5</v>
      </c>
      <c r="B85" s="370" t="str">
        <f t="shared" si="51"/>
        <v>Stakes and ties ($)</v>
      </c>
      <c r="C85" s="12">
        <f t="shared" si="52"/>
        <v>0</v>
      </c>
      <c r="D85" s="12">
        <f t="shared" si="63"/>
        <v>0</v>
      </c>
      <c r="E85" s="12">
        <f t="shared" si="53"/>
        <v>0</v>
      </c>
      <c r="F85" s="12">
        <f t="shared" si="54"/>
        <v>0</v>
      </c>
      <c r="G85" s="12">
        <f t="shared" si="55"/>
        <v>0</v>
      </c>
      <c r="H85" s="12">
        <f t="shared" si="56"/>
        <v>0</v>
      </c>
      <c r="I85" s="12">
        <f t="shared" si="57"/>
        <v>0</v>
      </c>
      <c r="J85" s="12">
        <f t="shared" si="58"/>
        <v>0</v>
      </c>
      <c r="L85" s="71"/>
      <c r="M85" s="71"/>
      <c r="N85" s="71"/>
      <c r="O85" s="130"/>
      <c r="P85" s="130"/>
      <c r="Q85" s="130"/>
      <c r="R85" s="130"/>
      <c r="S85" s="130"/>
      <c r="T85" s="127"/>
      <c r="U85" s="12">
        <f t="shared" si="59"/>
        <v>0</v>
      </c>
      <c r="V85" s="12">
        <f t="shared" si="60"/>
        <v>0</v>
      </c>
      <c r="W85" s="12">
        <f t="shared" si="61"/>
        <v>0</v>
      </c>
      <c r="X85" s="12">
        <f t="shared" si="62"/>
        <v>0</v>
      </c>
      <c r="Y85" s="12">
        <v>0</v>
      </c>
    </row>
    <row r="86" spans="1:25" x14ac:dyDescent="0.45">
      <c r="A86">
        <v>6</v>
      </c>
      <c r="B86" s="370" t="str">
        <f t="shared" si="51"/>
        <v>Installation cost ($/hr) per tree</v>
      </c>
      <c r="C86" s="12">
        <f t="shared" si="52"/>
        <v>0</v>
      </c>
      <c r="D86" s="12">
        <f t="shared" si="63"/>
        <v>0</v>
      </c>
      <c r="E86" s="12">
        <f t="shared" si="53"/>
        <v>0</v>
      </c>
      <c r="F86" s="12">
        <f t="shared" si="54"/>
        <v>0</v>
      </c>
      <c r="G86" s="12">
        <f t="shared" si="55"/>
        <v>0</v>
      </c>
      <c r="H86" s="12">
        <f t="shared" si="56"/>
        <v>0</v>
      </c>
      <c r="I86" s="12">
        <f t="shared" si="57"/>
        <v>0</v>
      </c>
      <c r="J86" s="12">
        <f t="shared" si="58"/>
        <v>0</v>
      </c>
      <c r="L86" s="71"/>
      <c r="M86" s="71"/>
      <c r="N86" s="71"/>
      <c r="O86" s="130"/>
      <c r="P86" s="130"/>
      <c r="Q86" s="130"/>
      <c r="R86" s="130"/>
      <c r="S86" s="130"/>
      <c r="T86" s="127"/>
      <c r="U86" s="12">
        <f t="shared" si="59"/>
        <v>0</v>
      </c>
      <c r="V86" s="12">
        <f t="shared" si="60"/>
        <v>0</v>
      </c>
      <c r="W86" s="12">
        <f t="shared" si="61"/>
        <v>0</v>
      </c>
      <c r="X86" s="12">
        <f t="shared" si="62"/>
        <v>0</v>
      </c>
      <c r="Y86" s="12">
        <v>0</v>
      </c>
    </row>
    <row r="87" spans="1:25" x14ac:dyDescent="0.45">
      <c r="A87">
        <v>7</v>
      </c>
      <c r="B87" s="370" t="str">
        <f t="shared" si="51"/>
        <v>Machine rate ($/hr)</v>
      </c>
      <c r="C87" s="12">
        <f t="shared" si="52"/>
        <v>0</v>
      </c>
      <c r="D87" s="12">
        <f t="shared" si="63"/>
        <v>0</v>
      </c>
      <c r="E87" s="12">
        <f t="shared" si="53"/>
        <v>0</v>
      </c>
      <c r="F87" s="12">
        <f t="shared" si="54"/>
        <v>0</v>
      </c>
      <c r="G87" s="12">
        <f t="shared" si="55"/>
        <v>0</v>
      </c>
      <c r="H87" s="12">
        <f t="shared" si="56"/>
        <v>0</v>
      </c>
      <c r="I87" s="12">
        <f t="shared" si="57"/>
        <v>0</v>
      </c>
      <c r="J87" s="12">
        <f t="shared" si="58"/>
        <v>0</v>
      </c>
      <c r="L87" s="71"/>
      <c r="M87" s="71"/>
      <c r="N87" s="71"/>
      <c r="O87" s="130"/>
      <c r="P87" s="130"/>
      <c r="Q87" s="130"/>
      <c r="R87" s="130"/>
      <c r="S87" s="130"/>
      <c r="T87" s="127"/>
      <c r="U87" s="12">
        <f t="shared" si="59"/>
        <v>0</v>
      </c>
      <c r="V87" s="12">
        <f t="shared" si="60"/>
        <v>0</v>
      </c>
      <c r="W87" s="12">
        <f t="shared" si="61"/>
        <v>0</v>
      </c>
      <c r="X87" s="12">
        <f t="shared" si="62"/>
        <v>0</v>
      </c>
      <c r="Y87" s="12">
        <v>0</v>
      </c>
    </row>
    <row r="88" spans="1:25" x14ac:dyDescent="0.45">
      <c r="A88">
        <v>8</v>
      </c>
      <c r="B88" s="370" t="str">
        <f t="shared" si="51"/>
        <v>Tree protection fencing ($)</v>
      </c>
      <c r="C88" s="12">
        <f t="shared" si="52"/>
        <v>0</v>
      </c>
      <c r="D88" s="12">
        <f t="shared" si="63"/>
        <v>0</v>
      </c>
      <c r="E88" s="12">
        <f t="shared" si="53"/>
        <v>0</v>
      </c>
      <c r="F88" s="12">
        <f t="shared" si="54"/>
        <v>0</v>
      </c>
      <c r="G88" s="12">
        <f t="shared" si="55"/>
        <v>0</v>
      </c>
      <c r="H88" s="12">
        <f t="shared" si="56"/>
        <v>0</v>
      </c>
      <c r="I88" s="12">
        <f t="shared" si="57"/>
        <v>0</v>
      </c>
      <c r="J88" s="12">
        <f t="shared" si="58"/>
        <v>0</v>
      </c>
      <c r="L88" s="71"/>
      <c r="M88" s="71"/>
      <c r="N88" s="71"/>
      <c r="O88" s="130"/>
      <c r="P88" s="130"/>
      <c r="Q88" s="130"/>
      <c r="R88" s="130"/>
      <c r="S88" s="130"/>
      <c r="T88" s="127"/>
      <c r="U88" s="12">
        <f t="shared" si="59"/>
        <v>0</v>
      </c>
      <c r="V88" s="12">
        <f t="shared" si="60"/>
        <v>0</v>
      </c>
      <c r="W88" s="12">
        <f t="shared" si="61"/>
        <v>0</v>
      </c>
      <c r="X88" s="12">
        <f t="shared" si="62"/>
        <v>0</v>
      </c>
      <c r="Y88" s="12">
        <v>0</v>
      </c>
    </row>
    <row r="89" spans="1:25" x14ac:dyDescent="0.45">
      <c r="A89">
        <v>9</v>
      </c>
      <c r="B89" s="370" t="str">
        <f t="shared" si="51"/>
        <v>Tree removal ($/tree)</v>
      </c>
      <c r="C89" s="12">
        <f t="shared" si="52"/>
        <v>0</v>
      </c>
      <c r="D89" s="12">
        <f t="shared" si="63"/>
        <v>0</v>
      </c>
      <c r="E89" s="12">
        <f t="shared" si="53"/>
        <v>0</v>
      </c>
      <c r="F89" s="12">
        <f t="shared" si="54"/>
        <v>0</v>
      </c>
      <c r="G89" s="12">
        <f t="shared" si="55"/>
        <v>0</v>
      </c>
      <c r="H89" s="12">
        <f t="shared" si="56"/>
        <v>0</v>
      </c>
      <c r="I89" s="12">
        <f t="shared" si="57"/>
        <v>0</v>
      </c>
      <c r="J89" s="12">
        <f t="shared" si="58"/>
        <v>0</v>
      </c>
      <c r="L89" s="71"/>
      <c r="M89" s="71"/>
      <c r="N89" s="71"/>
      <c r="O89" s="130"/>
      <c r="P89" s="130"/>
      <c r="Q89" s="130"/>
      <c r="R89" s="130"/>
      <c r="S89" s="130"/>
      <c r="T89" s="127"/>
      <c r="U89" s="12">
        <f t="shared" si="59"/>
        <v>0</v>
      </c>
      <c r="V89" s="12">
        <f t="shared" si="60"/>
        <v>0</v>
      </c>
      <c r="W89" s="12">
        <f t="shared" si="61"/>
        <v>0</v>
      </c>
      <c r="X89" s="12">
        <f t="shared" si="62"/>
        <v>0</v>
      </c>
      <c r="Y89" s="12">
        <v>0</v>
      </c>
    </row>
    <row r="90" spans="1:25" x14ac:dyDescent="0.45">
      <c r="A90">
        <v>10</v>
      </c>
      <c r="B90" s="370" t="str">
        <f t="shared" si="51"/>
        <v>Soil cost ($/m3)</v>
      </c>
      <c r="C90" s="12">
        <f t="shared" si="52"/>
        <v>0</v>
      </c>
      <c r="D90" s="12">
        <f t="shared" si="63"/>
        <v>0</v>
      </c>
      <c r="E90" s="12">
        <f t="shared" si="53"/>
        <v>0</v>
      </c>
      <c r="F90" s="12">
        <f t="shared" si="54"/>
        <v>0</v>
      </c>
      <c r="G90" s="12">
        <f t="shared" si="55"/>
        <v>0</v>
      </c>
      <c r="H90" s="12">
        <f t="shared" si="56"/>
        <v>0</v>
      </c>
      <c r="I90" s="12">
        <f t="shared" si="57"/>
        <v>0</v>
      </c>
      <c r="J90" s="12">
        <f t="shared" si="58"/>
        <v>0</v>
      </c>
      <c r="L90" s="71"/>
      <c r="M90" s="71"/>
      <c r="N90" s="71"/>
      <c r="O90" s="130"/>
      <c r="P90" s="130"/>
      <c r="Q90" s="130"/>
      <c r="R90" s="130"/>
      <c r="S90" s="130"/>
      <c r="T90" s="127"/>
      <c r="U90" s="12">
        <f t="shared" si="59"/>
        <v>0</v>
      </c>
      <c r="V90" s="12">
        <f t="shared" si="60"/>
        <v>0</v>
      </c>
      <c r="W90" s="12">
        <f t="shared" si="61"/>
        <v>0</v>
      </c>
      <c r="X90" s="12">
        <f t="shared" si="62"/>
        <v>0</v>
      </c>
      <c r="Y90" s="12">
        <v>0</v>
      </c>
    </row>
    <row r="91" spans="1:25" x14ac:dyDescent="0.45">
      <c r="A91">
        <v>11</v>
      </c>
      <c r="B91" s="370" t="str">
        <f t="shared" si="51"/>
        <v>Maintenance in year 1 ($/tree)</v>
      </c>
      <c r="C91" s="12">
        <f t="shared" si="52"/>
        <v>0</v>
      </c>
      <c r="D91" s="12">
        <f t="shared" si="63"/>
        <v>0</v>
      </c>
      <c r="E91" s="12">
        <f t="shared" si="53"/>
        <v>0</v>
      </c>
      <c r="F91" s="12">
        <f t="shared" si="54"/>
        <v>0</v>
      </c>
      <c r="G91" s="12">
        <f t="shared" si="55"/>
        <v>0</v>
      </c>
      <c r="H91" s="12">
        <f t="shared" si="56"/>
        <v>0</v>
      </c>
      <c r="I91" s="12">
        <f t="shared" si="57"/>
        <v>0</v>
      </c>
      <c r="J91" s="12">
        <f t="shared" si="58"/>
        <v>0</v>
      </c>
      <c r="L91" s="71"/>
      <c r="M91" s="71"/>
      <c r="N91" s="71"/>
      <c r="O91" s="130"/>
      <c r="P91" s="130"/>
      <c r="Q91" s="130"/>
      <c r="R91" s="130"/>
      <c r="S91" s="130"/>
      <c r="T91" s="127"/>
      <c r="U91" s="12">
        <f t="shared" si="59"/>
        <v>0</v>
      </c>
      <c r="V91" s="12">
        <f t="shared" si="60"/>
        <v>0</v>
      </c>
      <c r="W91" s="12">
        <f t="shared" si="61"/>
        <v>0</v>
      </c>
      <c r="X91" s="12">
        <f t="shared" si="62"/>
        <v>0</v>
      </c>
      <c r="Y91" s="12">
        <v>0</v>
      </c>
    </row>
    <row r="92" spans="1:25" x14ac:dyDescent="0.45">
      <c r="A92">
        <v>12</v>
      </c>
      <c r="B92" s="370" t="str">
        <f t="shared" si="51"/>
        <v>Maintenance in year 2 ($/tree)</v>
      </c>
      <c r="C92" s="12">
        <f t="shared" si="52"/>
        <v>0</v>
      </c>
      <c r="D92" s="12">
        <f t="shared" si="63"/>
        <v>0</v>
      </c>
      <c r="E92" s="12">
        <f t="shared" si="53"/>
        <v>0</v>
      </c>
      <c r="F92" s="12">
        <f t="shared" si="54"/>
        <v>0</v>
      </c>
      <c r="G92" s="12">
        <f t="shared" si="55"/>
        <v>0</v>
      </c>
      <c r="H92" s="12">
        <f t="shared" si="56"/>
        <v>0</v>
      </c>
      <c r="I92" s="12">
        <f t="shared" si="57"/>
        <v>0</v>
      </c>
      <c r="J92" s="12">
        <f t="shared" si="58"/>
        <v>0</v>
      </c>
      <c r="L92" s="71"/>
      <c r="M92" s="71"/>
      <c r="N92" s="71"/>
      <c r="O92" s="130"/>
      <c r="P92" s="130"/>
      <c r="Q92" s="130"/>
      <c r="R92" s="130"/>
      <c r="S92" s="130"/>
      <c r="T92" s="127"/>
      <c r="U92" s="12">
        <f t="shared" si="59"/>
        <v>0</v>
      </c>
      <c r="V92" s="12">
        <f t="shared" si="60"/>
        <v>0</v>
      </c>
      <c r="W92" s="12">
        <f t="shared" si="61"/>
        <v>0</v>
      </c>
      <c r="X92" s="12">
        <f t="shared" si="62"/>
        <v>0</v>
      </c>
      <c r="Y92" s="12">
        <v>0</v>
      </c>
    </row>
    <row r="93" spans="1:25" x14ac:dyDescent="0.45">
      <c r="A93">
        <v>13</v>
      </c>
      <c r="B93" s="370" t="str">
        <f t="shared" si="51"/>
        <v>Maintenance in year 3 and onwards (annual $/tree)</v>
      </c>
      <c r="C93" s="12">
        <f>IF(L93&gt;0.00000001,L93,0)</f>
        <v>0</v>
      </c>
      <c r="D93" s="12">
        <f>IF(U93&gt;0.00000001,U93,0)</f>
        <v>0</v>
      </c>
      <c r="E93" s="12">
        <f>IF(V93&gt;0.00000001,V93,0)</f>
        <v>0</v>
      </c>
      <c r="F93" s="12">
        <f>IF(M93&gt;0.00000001,M93,0)</f>
        <v>0</v>
      </c>
      <c r="G93" s="12">
        <f>IF(W93&gt;0.00000001,W93,0)</f>
        <v>0</v>
      </c>
      <c r="H93" s="12">
        <f>IF(X93&gt;0.00000001,X93,0)</f>
        <v>0</v>
      </c>
      <c r="I93" s="12">
        <f>IF(N93&gt;0.00000001,N93,0)</f>
        <v>0</v>
      </c>
      <c r="J93" s="12">
        <f>IF(Y93&gt;0.00000001,X93,0)</f>
        <v>0</v>
      </c>
      <c r="L93" s="71"/>
      <c r="M93" s="71"/>
      <c r="N93" s="71"/>
      <c r="O93" s="130"/>
      <c r="P93" s="130"/>
      <c r="Q93" s="130"/>
      <c r="R93" s="130"/>
      <c r="S93" s="130"/>
      <c r="T93" s="127"/>
      <c r="U93" s="12">
        <f t="shared" si="59"/>
        <v>0</v>
      </c>
      <c r="V93" s="12">
        <f t="shared" si="60"/>
        <v>0</v>
      </c>
      <c r="W93" s="12">
        <f t="shared" si="61"/>
        <v>0</v>
      </c>
      <c r="X93" s="12">
        <f t="shared" si="62"/>
        <v>0</v>
      </c>
      <c r="Y93" s="12">
        <v>0</v>
      </c>
    </row>
    <row r="94" spans="1:25" x14ac:dyDescent="0.45">
      <c r="A94">
        <v>14</v>
      </c>
      <c r="B94" s="370" t="str">
        <f t="shared" ref="B94:B106" si="64">B63</f>
        <v>Traffic control cost ($)</v>
      </c>
      <c r="C94" s="12">
        <f t="shared" si="52"/>
        <v>0</v>
      </c>
      <c r="D94" s="12">
        <f t="shared" si="63"/>
        <v>0</v>
      </c>
      <c r="E94" s="12">
        <f t="shared" si="53"/>
        <v>0</v>
      </c>
      <c r="F94" s="12">
        <f t="shared" si="54"/>
        <v>0</v>
      </c>
      <c r="G94" s="12">
        <f t="shared" si="55"/>
        <v>0</v>
      </c>
      <c r="H94" s="12">
        <f t="shared" si="56"/>
        <v>0</v>
      </c>
      <c r="I94" s="12">
        <f t="shared" si="57"/>
        <v>0</v>
      </c>
      <c r="J94" s="12">
        <f t="shared" si="58"/>
        <v>0</v>
      </c>
      <c r="L94" s="71"/>
      <c r="M94" s="71"/>
      <c r="N94" s="71"/>
      <c r="O94" s="130"/>
      <c r="P94" s="130"/>
      <c r="Q94" s="130"/>
      <c r="R94" s="130"/>
      <c r="S94" s="130"/>
      <c r="T94" s="127"/>
      <c r="U94" s="12">
        <f t="shared" si="59"/>
        <v>0</v>
      </c>
      <c r="V94" s="12">
        <f t="shared" si="60"/>
        <v>0</v>
      </c>
      <c r="W94" s="12">
        <f t="shared" si="61"/>
        <v>0</v>
      </c>
      <c r="X94" s="12">
        <f t="shared" si="62"/>
        <v>0</v>
      </c>
      <c r="Y94" s="12">
        <v>0</v>
      </c>
    </row>
    <row r="95" spans="1:25" x14ac:dyDescent="0.45">
      <c r="A95">
        <v>15</v>
      </c>
      <c r="B95" s="370" t="str">
        <f t="shared" si="64"/>
        <v>Guard rails ($)</v>
      </c>
      <c r="C95" s="12">
        <f t="shared" si="52"/>
        <v>0</v>
      </c>
      <c r="D95" s="12">
        <f t="shared" si="63"/>
        <v>0</v>
      </c>
      <c r="E95" s="12">
        <f t="shared" si="53"/>
        <v>0</v>
      </c>
      <c r="F95" s="12">
        <f t="shared" si="54"/>
        <v>0</v>
      </c>
      <c r="G95" s="12">
        <f t="shared" si="55"/>
        <v>0</v>
      </c>
      <c r="H95" s="12">
        <f t="shared" si="56"/>
        <v>0</v>
      </c>
      <c r="I95" s="12">
        <f t="shared" si="57"/>
        <v>0</v>
      </c>
      <c r="J95" s="12">
        <f t="shared" si="58"/>
        <v>0</v>
      </c>
      <c r="L95" s="71"/>
      <c r="M95" s="71"/>
      <c r="N95" s="71"/>
      <c r="O95" s="130"/>
      <c r="P95" s="130"/>
      <c r="Q95" s="130"/>
      <c r="R95" s="130"/>
      <c r="S95" s="130"/>
      <c r="T95" s="127"/>
      <c r="U95" s="12">
        <f t="shared" si="59"/>
        <v>0</v>
      </c>
      <c r="V95" s="12">
        <f t="shared" si="60"/>
        <v>0</v>
      </c>
      <c r="W95" s="12">
        <f t="shared" si="61"/>
        <v>0</v>
      </c>
      <c r="X95" s="12">
        <f t="shared" si="62"/>
        <v>0</v>
      </c>
      <c r="Y95" s="12">
        <v>0</v>
      </c>
    </row>
    <row r="96" spans="1:25" x14ac:dyDescent="0.45">
      <c r="A96">
        <v>16</v>
      </c>
      <c r="B96" s="370" t="str">
        <f t="shared" si="64"/>
        <v>Arborist tree health inspection ($/tree)</v>
      </c>
      <c r="C96" s="12">
        <f t="shared" ref="C96:C103" si="65">IF(L96&gt;0.00000001,L96,0)</f>
        <v>0</v>
      </c>
      <c r="D96" s="12">
        <f t="shared" ref="D96:D103" si="66">IF(U96&gt;0.00000001,U96,0)</f>
        <v>0</v>
      </c>
      <c r="E96" s="12">
        <f t="shared" ref="E96:E103" si="67">IF(V96&gt;0.00000001,V96,0)</f>
        <v>0</v>
      </c>
      <c r="F96" s="12">
        <f t="shared" ref="F96:F103" si="68">IF(M96&gt;0.00000001,M96,0)</f>
        <v>0</v>
      </c>
      <c r="G96" s="12">
        <f t="shared" ref="G96:G103" si="69">IF(W96&gt;0.00000001,W96,0)</f>
        <v>0</v>
      </c>
      <c r="H96" s="12">
        <f t="shared" ref="H96:H103" si="70">IF(X96&gt;0.00000001,X96,0)</f>
        <v>0</v>
      </c>
      <c r="I96" s="12">
        <f t="shared" ref="I96:I103" si="71">IF(N96&gt;0.00000001,N96,0)</f>
        <v>0</v>
      </c>
      <c r="J96" s="12">
        <f t="shared" ref="J96:J103" si="72">IF(Y96&gt;0.00000001,X96,0)</f>
        <v>0</v>
      </c>
      <c r="L96" s="71"/>
      <c r="M96" s="71"/>
      <c r="N96" s="71"/>
      <c r="O96" s="130"/>
      <c r="P96" s="130"/>
      <c r="Q96" s="130"/>
      <c r="R96" s="130"/>
      <c r="S96" s="130"/>
      <c r="T96" s="127"/>
      <c r="U96" s="12">
        <f t="shared" si="59"/>
        <v>0</v>
      </c>
      <c r="V96" s="12">
        <f t="shared" si="60"/>
        <v>0</v>
      </c>
      <c r="W96" s="12">
        <f t="shared" si="61"/>
        <v>0</v>
      </c>
      <c r="X96" s="12">
        <f t="shared" si="62"/>
        <v>0</v>
      </c>
      <c r="Y96" s="12">
        <v>0</v>
      </c>
    </row>
    <row r="97" spans="1:25" x14ac:dyDescent="0.45">
      <c r="A97">
        <v>17</v>
      </c>
      <c r="B97" s="370" t="str">
        <f t="shared" si="64"/>
        <v>GIS mapping and inventory assessment ($)</v>
      </c>
      <c r="C97" s="12">
        <f t="shared" si="65"/>
        <v>0</v>
      </c>
      <c r="D97" s="12">
        <f t="shared" si="66"/>
        <v>0</v>
      </c>
      <c r="E97" s="12">
        <f t="shared" si="67"/>
        <v>0</v>
      </c>
      <c r="F97" s="12">
        <f t="shared" si="68"/>
        <v>0</v>
      </c>
      <c r="G97" s="12">
        <f t="shared" si="69"/>
        <v>0</v>
      </c>
      <c r="H97" s="12">
        <f t="shared" si="70"/>
        <v>0</v>
      </c>
      <c r="I97" s="12">
        <f t="shared" si="71"/>
        <v>0</v>
      </c>
      <c r="J97" s="12">
        <f t="shared" si="72"/>
        <v>0</v>
      </c>
      <c r="L97" s="71"/>
      <c r="M97" s="71"/>
      <c r="N97" s="71"/>
      <c r="O97" s="130"/>
      <c r="P97" s="130"/>
      <c r="Q97" s="130"/>
      <c r="R97" s="130"/>
      <c r="S97" s="130"/>
      <c r="T97" s="127"/>
      <c r="U97" s="12">
        <f t="shared" si="59"/>
        <v>0</v>
      </c>
      <c r="V97" s="12">
        <f t="shared" si="60"/>
        <v>0</v>
      </c>
      <c r="W97" s="12">
        <f t="shared" si="61"/>
        <v>0</v>
      </c>
      <c r="X97" s="12">
        <f t="shared" si="62"/>
        <v>0</v>
      </c>
      <c r="Y97" s="12">
        <v>0</v>
      </c>
    </row>
    <row r="98" spans="1:25" x14ac:dyDescent="0.45">
      <c r="A98">
        <v>18</v>
      </c>
      <c r="B98" s="370" t="str">
        <f t="shared" si="64"/>
        <v>Watering ($/tree per visit)</v>
      </c>
      <c r="C98" s="12">
        <f t="shared" si="65"/>
        <v>0</v>
      </c>
      <c r="D98" s="12">
        <f t="shared" si="66"/>
        <v>0</v>
      </c>
      <c r="E98" s="12">
        <f t="shared" si="67"/>
        <v>0</v>
      </c>
      <c r="F98" s="12">
        <f t="shared" si="68"/>
        <v>0</v>
      </c>
      <c r="G98" s="12">
        <f t="shared" si="69"/>
        <v>0</v>
      </c>
      <c r="H98" s="12">
        <f t="shared" si="70"/>
        <v>0</v>
      </c>
      <c r="I98" s="12">
        <f t="shared" si="71"/>
        <v>0</v>
      </c>
      <c r="J98" s="12">
        <f t="shared" si="72"/>
        <v>0</v>
      </c>
      <c r="L98" s="71"/>
      <c r="M98" s="71"/>
      <c r="N98" s="71"/>
      <c r="T98" s="127"/>
      <c r="U98" s="12">
        <f t="shared" si="59"/>
        <v>0</v>
      </c>
      <c r="V98" s="12">
        <f t="shared" si="60"/>
        <v>0</v>
      </c>
      <c r="W98" s="12">
        <f t="shared" si="61"/>
        <v>0</v>
      </c>
      <c r="X98" s="12">
        <f t="shared" si="62"/>
        <v>0</v>
      </c>
      <c r="Y98" s="12">
        <v>0</v>
      </c>
    </row>
    <row r="99" spans="1:25" x14ac:dyDescent="0.45">
      <c r="A99">
        <v>19</v>
      </c>
      <c r="B99" s="370" t="str">
        <f t="shared" si="64"/>
        <v>Strata cells/vault installation ($/tree)</v>
      </c>
      <c r="C99" s="12">
        <f t="shared" si="65"/>
        <v>0</v>
      </c>
      <c r="D99" s="12">
        <f t="shared" si="66"/>
        <v>0</v>
      </c>
      <c r="E99" s="12">
        <f t="shared" si="67"/>
        <v>0</v>
      </c>
      <c r="F99" s="12">
        <f t="shared" si="68"/>
        <v>0</v>
      </c>
      <c r="G99" s="12">
        <f t="shared" si="69"/>
        <v>0</v>
      </c>
      <c r="H99" s="12">
        <f t="shared" si="70"/>
        <v>0</v>
      </c>
      <c r="I99" s="12">
        <f t="shared" si="71"/>
        <v>0</v>
      </c>
      <c r="J99" s="12">
        <f t="shared" si="72"/>
        <v>0</v>
      </c>
      <c r="L99" s="71"/>
      <c r="M99" s="71"/>
      <c r="N99" s="71"/>
      <c r="T99" s="127"/>
      <c r="U99" s="12">
        <f t="shared" si="59"/>
        <v>0</v>
      </c>
      <c r="V99" s="12">
        <f t="shared" si="60"/>
        <v>0</v>
      </c>
      <c r="W99" s="12">
        <f t="shared" si="61"/>
        <v>0</v>
      </c>
      <c r="X99" s="12">
        <f t="shared" si="62"/>
        <v>0</v>
      </c>
      <c r="Y99" s="12">
        <v>0</v>
      </c>
    </row>
    <row r="100" spans="1:25" x14ac:dyDescent="0.45">
      <c r="A100">
        <v>20</v>
      </c>
      <c r="B100" s="370" t="str">
        <f t="shared" si="64"/>
        <v>Visual tree inspection ($/tree)</v>
      </c>
      <c r="C100" s="12">
        <f t="shared" si="65"/>
        <v>0</v>
      </c>
      <c r="D100" s="12">
        <f t="shared" si="66"/>
        <v>0</v>
      </c>
      <c r="E100" s="12">
        <f t="shared" si="67"/>
        <v>0</v>
      </c>
      <c r="F100" s="12">
        <f t="shared" si="68"/>
        <v>0</v>
      </c>
      <c r="G100" s="12">
        <f t="shared" si="69"/>
        <v>0</v>
      </c>
      <c r="H100" s="12">
        <f t="shared" si="70"/>
        <v>0</v>
      </c>
      <c r="I100" s="12">
        <f t="shared" si="71"/>
        <v>0</v>
      </c>
      <c r="J100" s="12">
        <f t="shared" si="72"/>
        <v>0</v>
      </c>
      <c r="L100" s="71"/>
      <c r="M100" s="71"/>
      <c r="N100" s="71"/>
      <c r="T100" s="127"/>
      <c r="U100" s="12">
        <f t="shared" si="59"/>
        <v>0</v>
      </c>
      <c r="V100" s="12">
        <f t="shared" si="60"/>
        <v>0</v>
      </c>
      <c r="W100" s="12">
        <f t="shared" si="61"/>
        <v>0</v>
      </c>
      <c r="X100" s="12">
        <f t="shared" si="62"/>
        <v>0</v>
      </c>
      <c r="Y100" s="12">
        <v>0</v>
      </c>
    </row>
    <row r="101" spans="1:25" x14ac:dyDescent="0.45">
      <c r="A101">
        <v>21</v>
      </c>
      <c r="B101" s="279" t="str">
        <f t="shared" si="64"/>
        <v>User specified cost item 1 ($/tree in Year 1 only)</v>
      </c>
      <c r="C101" s="12">
        <f t="shared" si="65"/>
        <v>0</v>
      </c>
      <c r="D101" s="12">
        <f t="shared" si="66"/>
        <v>0</v>
      </c>
      <c r="E101" s="12">
        <f t="shared" si="67"/>
        <v>0</v>
      </c>
      <c r="F101" s="12">
        <f t="shared" si="68"/>
        <v>0</v>
      </c>
      <c r="G101" s="12">
        <f t="shared" si="69"/>
        <v>0</v>
      </c>
      <c r="H101" s="12">
        <f t="shared" si="70"/>
        <v>0</v>
      </c>
      <c r="I101" s="12">
        <f t="shared" si="71"/>
        <v>0</v>
      </c>
      <c r="J101" s="12">
        <f t="shared" si="72"/>
        <v>0</v>
      </c>
      <c r="L101" s="71"/>
      <c r="M101" s="71"/>
      <c r="N101" s="71"/>
      <c r="T101" s="127"/>
      <c r="U101" s="12">
        <f t="shared" si="59"/>
        <v>0</v>
      </c>
      <c r="V101" s="12">
        <f t="shared" si="60"/>
        <v>0</v>
      </c>
      <c r="W101" s="12">
        <f t="shared" si="61"/>
        <v>0</v>
      </c>
      <c r="X101" s="12">
        <f t="shared" si="62"/>
        <v>0</v>
      </c>
      <c r="Y101" s="12">
        <v>0</v>
      </c>
    </row>
    <row r="102" spans="1:25" x14ac:dyDescent="0.45">
      <c r="A102">
        <v>22</v>
      </c>
      <c r="B102" s="279" t="str">
        <f t="shared" si="64"/>
        <v>User specified cost item 2 ($/tree per annum up to year 2)</v>
      </c>
      <c r="C102" s="12">
        <f t="shared" si="65"/>
        <v>0</v>
      </c>
      <c r="D102" s="12">
        <f t="shared" si="66"/>
        <v>0</v>
      </c>
      <c r="E102" s="12">
        <f t="shared" si="67"/>
        <v>0</v>
      </c>
      <c r="F102" s="12">
        <f t="shared" si="68"/>
        <v>0</v>
      </c>
      <c r="G102" s="12">
        <f t="shared" si="69"/>
        <v>0</v>
      </c>
      <c r="H102" s="12">
        <f t="shared" si="70"/>
        <v>0</v>
      </c>
      <c r="I102" s="12">
        <f t="shared" si="71"/>
        <v>0</v>
      </c>
      <c r="J102" s="12">
        <f t="shared" si="72"/>
        <v>0</v>
      </c>
      <c r="L102" s="71"/>
      <c r="M102" s="71"/>
      <c r="N102" s="71"/>
      <c r="T102" s="127"/>
      <c r="U102" s="12">
        <f t="shared" si="59"/>
        <v>0</v>
      </c>
      <c r="V102" s="12">
        <f t="shared" si="60"/>
        <v>0</v>
      </c>
      <c r="W102" s="12">
        <f t="shared" si="61"/>
        <v>0</v>
      </c>
      <c r="X102" s="12">
        <f t="shared" si="62"/>
        <v>0</v>
      </c>
      <c r="Y102" s="12">
        <v>0</v>
      </c>
    </row>
    <row r="103" spans="1:25" x14ac:dyDescent="0.45">
      <c r="A103">
        <v>23</v>
      </c>
      <c r="B103" s="279" t="str">
        <f t="shared" si="64"/>
        <v>User specified cost item 3 ($/tree per annum)</v>
      </c>
      <c r="C103" s="12">
        <f t="shared" si="65"/>
        <v>0</v>
      </c>
      <c r="D103" s="12">
        <f t="shared" si="66"/>
        <v>0</v>
      </c>
      <c r="E103" s="12">
        <f t="shared" si="67"/>
        <v>0</v>
      </c>
      <c r="F103" s="12">
        <f t="shared" si="68"/>
        <v>0</v>
      </c>
      <c r="G103" s="12">
        <f t="shared" si="69"/>
        <v>0</v>
      </c>
      <c r="H103" s="12">
        <f t="shared" si="70"/>
        <v>0</v>
      </c>
      <c r="I103" s="12">
        <f t="shared" si="71"/>
        <v>0</v>
      </c>
      <c r="J103" s="12">
        <f t="shared" si="72"/>
        <v>0</v>
      </c>
      <c r="L103" s="71"/>
      <c r="M103" s="71"/>
      <c r="N103" s="71"/>
      <c r="T103" s="127"/>
      <c r="U103" s="12">
        <f t="shared" si="59"/>
        <v>0</v>
      </c>
      <c r="V103" s="12">
        <f t="shared" si="60"/>
        <v>0</v>
      </c>
      <c r="W103" s="12">
        <f t="shared" si="61"/>
        <v>0</v>
      </c>
      <c r="X103" s="12">
        <f t="shared" si="62"/>
        <v>0</v>
      </c>
      <c r="Y103" s="12">
        <v>0</v>
      </c>
    </row>
    <row r="104" spans="1:25" x14ac:dyDescent="0.45">
      <c r="A104">
        <v>24</v>
      </c>
      <c r="B104" s="279" t="str">
        <f t="shared" si="64"/>
        <v>User specified cost item 4 ($/tree per annum)</v>
      </c>
      <c r="C104" s="12">
        <f>IF(L104&gt;0.00000001,L104,0)</f>
        <v>0</v>
      </c>
      <c r="D104" s="12">
        <f t="shared" ref="D104:E106" si="73">IF(U104&gt;0.00000001,U104,0)</f>
        <v>0</v>
      </c>
      <c r="E104" s="12">
        <f t="shared" si="73"/>
        <v>0</v>
      </c>
      <c r="F104" s="12">
        <f>IF(M104&gt;0.00000001,M104,0)</f>
        <v>0</v>
      </c>
      <c r="G104" s="12">
        <f t="shared" ref="G104:H106" si="74">IF(W104&gt;0.00000001,W104,0)</f>
        <v>0</v>
      </c>
      <c r="H104" s="12">
        <f t="shared" si="74"/>
        <v>0</v>
      </c>
      <c r="I104" s="12">
        <f>IF(N104&gt;0.00000001,N104,0)</f>
        <v>0</v>
      </c>
      <c r="J104" s="12">
        <f>IF(Y104&gt;0.00000001,X104,0)</f>
        <v>0</v>
      </c>
      <c r="L104" s="71"/>
      <c r="M104" s="71"/>
      <c r="N104" s="71"/>
      <c r="T104" s="127"/>
      <c r="U104" s="12">
        <f t="shared" si="59"/>
        <v>0</v>
      </c>
      <c r="V104" s="12">
        <f t="shared" si="60"/>
        <v>0</v>
      </c>
      <c r="W104" s="12">
        <f t="shared" si="61"/>
        <v>0</v>
      </c>
      <c r="X104" s="12">
        <f t="shared" si="62"/>
        <v>0</v>
      </c>
      <c r="Y104" s="12">
        <v>0</v>
      </c>
    </row>
    <row r="105" spans="1:25" x14ac:dyDescent="0.45">
      <c r="A105">
        <v>25</v>
      </c>
      <c r="B105" s="279" t="str">
        <f t="shared" si="64"/>
        <v>User specified cost item 5 ($/tree per annum)</v>
      </c>
      <c r="C105" s="12">
        <f>IF(L105&gt;0.00000001,L105,0)</f>
        <v>0</v>
      </c>
      <c r="D105" s="12">
        <f t="shared" si="73"/>
        <v>0</v>
      </c>
      <c r="E105" s="12">
        <f t="shared" si="73"/>
        <v>0</v>
      </c>
      <c r="F105" s="12">
        <f>IF(M105&gt;0.00000001,M105,0)</f>
        <v>0</v>
      </c>
      <c r="G105" s="12">
        <f t="shared" si="74"/>
        <v>0</v>
      </c>
      <c r="H105" s="12">
        <f t="shared" si="74"/>
        <v>0</v>
      </c>
      <c r="I105" s="12">
        <f>IF(N105&gt;0.00000001,N105,0)</f>
        <v>0</v>
      </c>
      <c r="J105" s="12">
        <f>IF(Y105&gt;0.00000001,X105,0)</f>
        <v>0</v>
      </c>
      <c r="L105" s="71"/>
      <c r="M105" s="71"/>
      <c r="N105" s="71"/>
      <c r="T105" s="127"/>
      <c r="U105" s="12">
        <f t="shared" si="59"/>
        <v>0</v>
      </c>
      <c r="V105" s="12">
        <f t="shared" si="60"/>
        <v>0</v>
      </c>
      <c r="W105" s="12">
        <f t="shared" si="61"/>
        <v>0</v>
      </c>
      <c r="X105" s="12">
        <f t="shared" si="62"/>
        <v>0</v>
      </c>
      <c r="Y105" s="12">
        <v>0</v>
      </c>
    </row>
    <row r="106" spans="1:25" x14ac:dyDescent="0.45">
      <c r="A106">
        <v>26</v>
      </c>
      <c r="B106" s="279" t="str">
        <f t="shared" si="64"/>
        <v>User specified cost item 6 ($/tree per annum)</v>
      </c>
      <c r="C106" s="12">
        <f>IF(L106&gt;0.00000001,L106,0)</f>
        <v>0</v>
      </c>
      <c r="D106" s="12">
        <f t="shared" si="73"/>
        <v>0</v>
      </c>
      <c r="E106" s="12">
        <f t="shared" si="73"/>
        <v>0</v>
      </c>
      <c r="F106" s="12">
        <f>IF(M106&gt;0.00000001,M106,0)</f>
        <v>0</v>
      </c>
      <c r="G106" s="12">
        <f t="shared" si="74"/>
        <v>0</v>
      </c>
      <c r="H106" s="12">
        <f t="shared" si="74"/>
        <v>0</v>
      </c>
      <c r="I106" s="12">
        <f>IF(N106&gt;0.00000001,N106,0)</f>
        <v>0</v>
      </c>
      <c r="J106" s="12">
        <f>IF(Y106&gt;0.00000001,X106,0)</f>
        <v>0</v>
      </c>
      <c r="L106" s="71"/>
      <c r="M106" s="71"/>
      <c r="N106" s="71"/>
      <c r="T106" s="127"/>
      <c r="U106" s="12">
        <f t="shared" si="59"/>
        <v>0</v>
      </c>
      <c r="V106" s="12">
        <f t="shared" si="60"/>
        <v>0</v>
      </c>
      <c r="W106" s="12">
        <f t="shared" si="61"/>
        <v>0</v>
      </c>
      <c r="X106" s="12">
        <f t="shared" si="62"/>
        <v>0</v>
      </c>
      <c r="Y106" s="12">
        <v>0</v>
      </c>
    </row>
    <row r="107" spans="1:25" x14ac:dyDescent="0.45">
      <c r="L107" s="368"/>
      <c r="M107" s="368"/>
      <c r="N107" s="368"/>
    </row>
  </sheetData>
  <sheetProtection algorithmName="SHA-512" hashValue="5mIFuAUeI/+GWVL4mniyecCTCXMiI7pHht/Db6/vQ2eAu9xgdbghEag+NIXSIJJWlxOKx5fJVkrhrsRpZ4eHBA==" saltValue="vFgmO5K5j17JZlCIQ5DQVQ==" spinCount="100000" sheet="1" formatColumns="0" formatRows="0"/>
  <mergeCells count="6">
    <mergeCell ref="C17:J17"/>
    <mergeCell ref="C47:J47"/>
    <mergeCell ref="C78:J78"/>
    <mergeCell ref="L17:N17"/>
    <mergeCell ref="L47:N47"/>
    <mergeCell ref="L78:N7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4204-B95C-4977-80B7-925F1E08007F}">
  <sheetPr>
    <tabColor rgb="FF38AC98"/>
  </sheetPr>
  <dimension ref="A1:L61"/>
  <sheetViews>
    <sheetView showGridLines="0" zoomScaleNormal="100" workbookViewId="0">
      <pane xSplit="1" ySplit="4" topLeftCell="B34" activePane="bottomRight" state="frozen"/>
      <selection pane="topRight" activeCell="B1" sqref="B1"/>
      <selection pane="bottomLeft" activeCell="A5" sqref="A5"/>
      <selection pane="bottomRight" activeCell="F54" sqref="F54"/>
    </sheetView>
  </sheetViews>
  <sheetFormatPr defaultColWidth="0" defaultRowHeight="14.25" zeroHeight="1" x14ac:dyDescent="0.45"/>
  <cols>
    <col min="1" max="1" width="9.1328125" bestFit="1" customWidth="1"/>
    <col min="2" max="2" width="42.86328125" customWidth="1"/>
    <col min="3" max="3" width="53.86328125" customWidth="1"/>
    <col min="4" max="4" width="26.86328125" style="17" customWidth="1"/>
    <col min="5" max="5" width="2" hidden="1" customWidth="1"/>
    <col min="6" max="6" width="13.73046875" customWidth="1"/>
    <col min="7" max="7" width="14.86328125" customWidth="1"/>
    <col min="8" max="8" width="14.3984375" customWidth="1"/>
    <col min="9" max="16384" width="9.1328125" hidden="1"/>
  </cols>
  <sheetData>
    <row r="1" spans="1:12" s="47" customFormat="1" x14ac:dyDescent="0.45">
      <c r="A1" s="110"/>
      <c r="B1" s="111"/>
      <c r="C1" s="112"/>
      <c r="D1" s="112"/>
      <c r="E1" s="112"/>
      <c r="F1" s="111"/>
      <c r="G1" s="111"/>
      <c r="H1" s="111"/>
      <c r="I1" s="82"/>
      <c r="J1" s="82"/>
      <c r="K1" s="82"/>
      <c r="L1" s="82"/>
    </row>
    <row r="2" spans="1:12" hidden="1" x14ac:dyDescent="0.45">
      <c r="A2" s="14"/>
      <c r="B2" s="382"/>
      <c r="C2" s="382"/>
      <c r="D2" s="382"/>
      <c r="E2" s="382"/>
      <c r="F2" s="382"/>
      <c r="G2" s="382"/>
      <c r="H2" s="382"/>
    </row>
    <row r="3" spans="1:12" ht="18" hidden="1" x14ac:dyDescent="0.45">
      <c r="A3" s="14"/>
      <c r="B3" s="15"/>
      <c r="C3" s="16"/>
      <c r="D3" s="16"/>
      <c r="E3" s="16"/>
      <c r="F3" s="17"/>
      <c r="G3" s="17"/>
      <c r="H3" s="17"/>
    </row>
    <row r="4" spans="1:12" ht="28.5" x14ac:dyDescent="0.45">
      <c r="A4" s="21"/>
      <c r="B4" s="28" t="s">
        <v>10</v>
      </c>
      <c r="C4" s="29" t="s">
        <v>11</v>
      </c>
      <c r="D4" s="29"/>
      <c r="E4" s="29"/>
      <c r="F4" s="29" t="s">
        <v>12</v>
      </c>
      <c r="G4" s="29" t="s">
        <v>38</v>
      </c>
      <c r="H4" s="29" t="s">
        <v>13</v>
      </c>
    </row>
    <row r="5" spans="1:12" x14ac:dyDescent="0.45">
      <c r="A5" s="36" t="s">
        <v>14</v>
      </c>
      <c r="B5" s="19" t="s">
        <v>15</v>
      </c>
      <c r="C5" s="20"/>
      <c r="D5" s="20"/>
      <c r="E5" s="20"/>
      <c r="F5" s="20"/>
      <c r="G5" s="20"/>
      <c r="H5" s="20"/>
    </row>
    <row r="6" spans="1:12" x14ac:dyDescent="0.45">
      <c r="A6" s="356">
        <v>1</v>
      </c>
      <c r="B6" s="102" t="s">
        <v>16</v>
      </c>
      <c r="C6" s="103" t="s">
        <v>17</v>
      </c>
      <c r="D6" s="103"/>
      <c r="E6" s="103"/>
      <c r="F6" s="104"/>
      <c r="G6" s="65">
        <v>100</v>
      </c>
      <c r="H6" s="196">
        <f t="shared" ref="H6" si="0">IF(G6&gt;0,G6,F6)</f>
        <v>100</v>
      </c>
      <c r="J6" s="24"/>
    </row>
    <row r="7" spans="1:12" ht="14.85" customHeight="1" x14ac:dyDescent="0.45">
      <c r="A7" s="357">
        <v>2</v>
      </c>
      <c r="B7" s="63" t="s">
        <v>162</v>
      </c>
      <c r="C7" s="93" t="s">
        <v>18</v>
      </c>
      <c r="D7" s="93"/>
      <c r="E7" s="93"/>
      <c r="F7" s="105"/>
      <c r="G7" s="174" t="s">
        <v>9</v>
      </c>
      <c r="H7" s="160"/>
      <c r="I7" s="119"/>
      <c r="K7" s="31"/>
    </row>
    <row r="8" spans="1:12" ht="14.25" customHeight="1" x14ac:dyDescent="0.45">
      <c r="A8" s="358" t="s">
        <v>361</v>
      </c>
      <c r="B8" s="63" t="s">
        <v>24</v>
      </c>
      <c r="C8" s="384" t="s">
        <v>127</v>
      </c>
      <c r="D8" s="64"/>
      <c r="E8" s="63"/>
      <c r="F8" s="95"/>
      <c r="G8" s="65"/>
      <c r="H8" s="159">
        <f>IF(G8&gt;0,G8,F8)</f>
        <v>0</v>
      </c>
    </row>
    <row r="9" spans="1:12" x14ac:dyDescent="0.45">
      <c r="A9" s="357" t="s">
        <v>362</v>
      </c>
      <c r="B9" s="63" t="str">
        <f>Input_Data!B14</f>
        <v>Tree removal ($/tree)</v>
      </c>
      <c r="C9" s="385"/>
      <c r="D9" s="174" t="s">
        <v>0</v>
      </c>
      <c r="E9" s="94">
        <f>IF(D9=Data_Lists!$D$2,Input_Data!$C$4,IF(D9=Data_Lists!$D$3,Input_Data!$D$4,IF(D9=Data_Lists!$D$4,Input_Data!$E$4,(IF(D9=Data_Lists!$D$5,Input_Data!$F$4,(IF(D9=Data_Lists!$D$6,Input_Data!$G$4,IF(D9=Data_Lists!$D$7,Input_Data!$H$4,IF(D9=Data_Lists!$D$8,Input_Data!$I$4, IF(D9=Data_Lists!$D$9,Input_Data!$J$4))))))))))</f>
        <v>9</v>
      </c>
      <c r="F9" s="95">
        <f>IF(VLOOKUP(B9,IF($G$7=Data_Entry!$C$17,Data_Entry!$B$20:$J$45, IF($G$7=Data_Entry!$C$47,Data_Entry!$B$50:$J$75,IF($G$7=Data_Entry!$C$78,Data_Entry!$B$81:$J$103))),E9,FALSE)&gt;1, VLOOKUP(B9,IF($G$7=Data_Entry!$C$17,Data_Entry!$B$20:$J$45, IF($G$7=Data_Entry!$C$47,Data_Entry!$B$50:$J$75,IF($G$7=Data_Entry!$C$78,Data_Entry!$B$81:$J$103))),E9,FALSE),VLOOKUP(B9,IF($G$7=Input_Data!$C$3,Input_Data!$B$6:$J$31, IF($G$7=Input_Data!$C$34,Input_Data!$B$37:$J$62,IF($G$7=Input_Data!$C$64,Input_Data!$B$67:$J$92))),E9,FALSE))</f>
        <v>0</v>
      </c>
      <c r="G9" s="61"/>
      <c r="H9" s="153">
        <f>IF(G9&gt;0,G9,F9)</f>
        <v>0</v>
      </c>
    </row>
    <row r="10" spans="1:12" ht="28.5" x14ac:dyDescent="0.45">
      <c r="A10" s="359"/>
      <c r="B10" s="22" t="s">
        <v>154</v>
      </c>
      <c r="C10" s="29" t="s">
        <v>11</v>
      </c>
      <c r="D10" s="29" t="s">
        <v>39</v>
      </c>
      <c r="E10" s="29"/>
      <c r="F10" s="27" t="s">
        <v>46</v>
      </c>
      <c r="G10" s="344" t="s">
        <v>43</v>
      </c>
      <c r="H10" s="161" t="s">
        <v>47</v>
      </c>
    </row>
    <row r="11" spans="1:12" ht="28.5" x14ac:dyDescent="0.45">
      <c r="A11" s="357" t="s">
        <v>208</v>
      </c>
      <c r="B11" s="63" t="str">
        <f>Input_Data!B6</f>
        <v>Concrete cutting ($)</v>
      </c>
      <c r="C11" s="93" t="s">
        <v>137</v>
      </c>
      <c r="D11" s="174" t="s">
        <v>2</v>
      </c>
      <c r="E11" s="94">
        <f>IF(D11=Data_Lists!$D$2,Input_Data!$C$4,IF(D11=Data_Lists!$D$3,Input_Data!$D$4,IF(D11=Data_Lists!$D$4,Input_Data!$E$4,(IF(D11=Data_Lists!$D$5,Input_Data!$F$4,(IF(D11=Data_Lists!$D$6,Input_Data!$G$4,IF(D11=Data_Lists!$D$7,Input_Data!$H$4,IF(D11=Data_Lists!$D$8,Input_Data!$I$4, IF(D11=Data_Lists!$D$9,Input_Data!$J$4))))))))))</f>
        <v>2</v>
      </c>
      <c r="F11" s="95">
        <f>IF(VLOOKUP(B11,IF($G$7=Data_Entry!$C$17,Data_Entry!$B$20:$J$45, IF($G$7=Data_Entry!$C$47,Data_Entry!$B$50:$J$75,IF($G$7=Data_Entry!$C$78,Data_Entry!$B$81:$J$103))),E11,FALSE)&gt;1, VLOOKUP(B11,IF($G$7=Data_Entry!$C$17,Data_Entry!$B$20:$J$45, IF($G$7=Data_Entry!$C$47,Data_Entry!$B$50:$J$75,IF($G$7=Data_Entry!$C$78,Data_Entry!$B$81:$J$103))),E11,FALSE),VLOOKUP(B11,IF($G$7=Input_Data!$C$3,Input_Data!$B$6:$J$31, IF($G$7=Input_Data!$C$34,Input_Data!$B$37:$J$62,IF($G$7=Input_Data!$C$64,Input_Data!$B$67:$J$92))),E11,FALSE))</f>
        <v>1180.0978485920002</v>
      </c>
      <c r="G11" s="61"/>
      <c r="H11" s="156">
        <f t="shared" ref="H11:H19" si="1">IF(G11&gt;0,G11,F11)</f>
        <v>1180.0978485920002</v>
      </c>
    </row>
    <row r="12" spans="1:12" x14ac:dyDescent="0.45">
      <c r="A12" s="357" t="s">
        <v>209</v>
      </c>
      <c r="B12" s="63" t="s">
        <v>360</v>
      </c>
      <c r="C12" s="93"/>
      <c r="D12" s="96"/>
      <c r="E12" s="94"/>
      <c r="F12" s="95"/>
      <c r="G12" s="65">
        <v>0</v>
      </c>
      <c r="H12" s="196">
        <f t="shared" si="1"/>
        <v>0</v>
      </c>
    </row>
    <row r="13" spans="1:12" x14ac:dyDescent="0.45">
      <c r="A13" s="357">
        <v>5</v>
      </c>
      <c r="B13" s="63" t="str">
        <f>Input_Data!B7</f>
        <v>Supply ($)</v>
      </c>
      <c r="C13" s="93" t="s">
        <v>19</v>
      </c>
      <c r="D13" s="175" t="s">
        <v>8</v>
      </c>
      <c r="E13" s="94">
        <f>IF(D13=Data_Lists!$D$2,Input_Data!$C$4,IF(D13=Data_Lists!$D$3,Input_Data!$D$4,IF(D13=Data_Lists!$D$4,Input_Data!$E$4,(IF(D13=Data_Lists!$D$5,Input_Data!$F$4,(IF(D13=Data_Lists!$D$6,Input_Data!$G$4,IF(D13=Data_Lists!$D$7,Input_Data!$H$4,IF(D13=Data_Lists!$D$8,Input_Data!$I$4, IF(D13=Data_Lists!$D$9,Input_Data!$J$4))))))))))</f>
        <v>8</v>
      </c>
      <c r="F13" s="95">
        <f>IF(VLOOKUP(B13,IF($G$7=Data_Entry!$C$17,Data_Entry!$B$20:$J$45, IF($G$7=Data_Entry!$C$47,Data_Entry!$B$50:$J$75,IF($G$7=Data_Entry!$C$78,Data_Entry!$B$81:$J$103))),E13,FALSE)&gt;1, VLOOKUP(B13,IF($G$7=Data_Entry!$C$17,Data_Entry!$B$20:$J$45, IF($G$7=Data_Entry!$C$47,Data_Entry!$B$50:$J$75,IF($G$7=Data_Entry!$C$78,Data_Entry!$B$81:$J$103))),E13,FALSE),VLOOKUP(B13,IF($G$7=Input_Data!$C$3,Input_Data!$B$6:$J$31, IF($G$7=Input_Data!$C$34,Input_Data!$B$37:$J$62,IF($G$7=Input_Data!$C$64,Input_Data!$B$67:$J$92))),E13,FALSE))</f>
        <v>186.87190075839999</v>
      </c>
      <c r="G13" s="61"/>
      <c r="H13" s="155">
        <f t="shared" si="1"/>
        <v>186.87190075839999</v>
      </c>
    </row>
    <row r="14" spans="1:12" ht="15.75" x14ac:dyDescent="0.45">
      <c r="A14" s="357" t="s">
        <v>246</v>
      </c>
      <c r="B14" s="63" t="str">
        <f>Input_Data!B15</f>
        <v>Soil cost ($/m3)</v>
      </c>
      <c r="C14" s="93" t="s">
        <v>159</v>
      </c>
      <c r="D14" s="175" t="s">
        <v>103</v>
      </c>
      <c r="E14" s="94">
        <f>IF(D14=Data_Lists!$D$2,Input_Data!$C$4,IF(D14=Data_Lists!$D$3,Input_Data!$D$4,IF(D14=Data_Lists!$D$4,Input_Data!$E$4,(IF(D14=Data_Lists!$D$5,Input_Data!$F$4,(IF(D14=Data_Lists!$D$6,Input_Data!$G$4,IF(D14=Data_Lists!$D$7,Input_Data!$H$4,IF(D14=Data_Lists!$D$8,Input_Data!$I$4, IF(D14=Data_Lists!$D$9,Input_Data!$J$4))))))))))</f>
        <v>5</v>
      </c>
      <c r="F14" s="95">
        <f>IF(VLOOKUP(B14,IF($G$7=Data_Entry!$C$17,Data_Entry!$B$20:$J$45, IF($G$7=Data_Entry!$C$47,Data_Entry!$B$50:$J$75,IF($G$7=Data_Entry!$C$78,Data_Entry!$B$81:$J$103))),E14,FALSE)&gt;1, VLOOKUP(B14,IF($G$7=Data_Entry!$C$17,Data_Entry!$B$20:$J$45, IF($G$7=Data_Entry!$C$47,Data_Entry!$B$50:$J$75,IF($G$7=Data_Entry!$C$78,Data_Entry!$B$81:$J$103))),E14,FALSE),VLOOKUP(B14,IF($G$7=Input_Data!$C$3,Input_Data!$B$6:$J$31, IF($G$7=Input_Data!$C$34,Input_Data!$B$37:$J$62,IF($G$7=Input_Data!$C$64,Input_Data!$B$67:$J$92))),E14,FALSE))</f>
        <v>159.12</v>
      </c>
      <c r="G14" s="61"/>
      <c r="H14" s="155">
        <f t="shared" si="1"/>
        <v>159.12</v>
      </c>
    </row>
    <row r="15" spans="1:12" ht="30" x14ac:dyDescent="0.45">
      <c r="A15" s="358" t="s">
        <v>247</v>
      </c>
      <c r="B15" s="63" t="s">
        <v>155</v>
      </c>
      <c r="C15" s="93" t="s">
        <v>25</v>
      </c>
      <c r="D15" s="96"/>
      <c r="E15" s="94"/>
      <c r="F15" s="164">
        <v>0.2</v>
      </c>
      <c r="G15" s="61"/>
      <c r="H15" s="157">
        <f t="shared" si="1"/>
        <v>0.2</v>
      </c>
    </row>
    <row r="16" spans="1:12" ht="29.25" customHeight="1" x14ac:dyDescent="0.45">
      <c r="A16" s="360" t="s">
        <v>240</v>
      </c>
      <c r="B16" s="267" t="str">
        <f>Input_Data!B9</f>
        <v>Mulch cost ($/m3)</v>
      </c>
      <c r="C16" s="268" t="s">
        <v>363</v>
      </c>
      <c r="D16" s="175" t="s">
        <v>2</v>
      </c>
      <c r="E16" s="94">
        <f>IF(D16=Data_Lists!$D$2,Input_Data!$C$4,IF(D16=Data_Lists!$D$3,Input_Data!$D$4,IF(D16=Data_Lists!$D$4,Input_Data!$E$4,(IF(D16=Data_Lists!$D$5,Input_Data!$F$4,(IF(D16=Data_Lists!$D$6,Input_Data!$G$4,IF(D16=Data_Lists!$D$7,Input_Data!$H$4,IF(D16=Data_Lists!$D$8,Input_Data!$I$4, IF(D16=Data_Lists!$D$9,Input_Data!$J$4))))))))))</f>
        <v>2</v>
      </c>
      <c r="F16" s="95">
        <f>IF(VLOOKUP(B16,IF($G$7=Data_Entry!$C$17,Data_Entry!$B$20:$J$45, IF($G$7=Data_Entry!$C$47,Data_Entry!$B$50:$J$75,IF($G$7=Data_Entry!$C$78,Data_Entry!$B$81:$J$103))),E16,FALSE)&gt;1, VLOOKUP(B16,IF($G$7=Data_Entry!$C$17,Data_Entry!$B$20:$J$45, IF($G$7=Data_Entry!$C$47,Data_Entry!$B$50:$J$75,IF($G$7=Data_Entry!$C$78,Data_Entry!$B$81:$J$103))),E16,FALSE),VLOOKUP(B16,IF($G$7=Input_Data!$C$3,Input_Data!$B$6:$J$31, IF($G$7=Input_Data!$C$34,Input_Data!$B$37:$J$62,IF($G$7=Input_Data!$C$64,Input_Data!$B$67:$J$92))),E16,FALSE))</f>
        <v>97.683311460799999</v>
      </c>
      <c r="G16" s="61"/>
      <c r="H16" s="155">
        <f t="shared" si="1"/>
        <v>97.683311460799999</v>
      </c>
    </row>
    <row r="17" spans="1:10" ht="29.25" customHeight="1" x14ac:dyDescent="0.45">
      <c r="A17" s="360" t="s">
        <v>241</v>
      </c>
      <c r="B17" s="267" t="s">
        <v>242</v>
      </c>
      <c r="C17" s="268" t="s">
        <v>359</v>
      </c>
      <c r="D17" s="96"/>
      <c r="E17" s="93"/>
      <c r="F17" s="164">
        <v>0.1</v>
      </c>
      <c r="G17" s="65"/>
      <c r="H17" s="157">
        <f t="shared" si="1"/>
        <v>0.1</v>
      </c>
    </row>
    <row r="18" spans="1:10" x14ac:dyDescent="0.45">
      <c r="A18" s="361">
        <v>8</v>
      </c>
      <c r="B18" s="267" t="str">
        <f>Input_Data!B10</f>
        <v>Stakes and ties ($)</v>
      </c>
      <c r="C18" s="268" t="s">
        <v>20</v>
      </c>
      <c r="D18" s="175" t="s">
        <v>103</v>
      </c>
      <c r="E18" s="94">
        <f>IF(D18=Data_Lists!$D$2,Input_Data!$C$4,IF(D18=Data_Lists!$D$3,Input_Data!$D$4,IF(D18=Data_Lists!$D$4,Input_Data!$E$4,(IF(D18=Data_Lists!$D$5,Input_Data!$F$4,(IF(D18=Data_Lists!$D$6,Input_Data!$G$4,IF(D18=Data_Lists!$D$7,Input_Data!$H$4,IF(D18=Data_Lists!$D$8,Input_Data!$I$4, IF(D18=Data_Lists!$D$9,Input_Data!$J$4))))))))))</f>
        <v>5</v>
      </c>
      <c r="F18" s="95">
        <f>IF(VLOOKUP(B18,IF($G$7=Data_Entry!$C$17,Data_Entry!$B$20:$J$45, IF($G$7=Data_Entry!$C$47,Data_Entry!$B$50:$J$75,IF($G$7=Data_Entry!$C$78,Data_Entry!$B$81:$J$103))),E18,FALSE)&gt;1, VLOOKUP(B18,IF($G$7=Data_Entry!$C$17,Data_Entry!$B$20:$J$45, IF($G$7=Data_Entry!$C$47,Data_Entry!$B$50:$J$75,IF($G$7=Data_Entry!$C$78,Data_Entry!$B$81:$J$103))),E18,FALSE),VLOOKUP(B18,IF($G$7=Input_Data!$C$3,Input_Data!$B$6:$J$31, IF($G$7=Input_Data!$C$34,Input_Data!$B$37:$J$62,IF($G$7=Input_Data!$C$64,Input_Data!$B$67:$J$92))),E18,FALSE))</f>
        <v>124.80000000000001</v>
      </c>
      <c r="G18" s="61"/>
      <c r="H18" s="155">
        <f t="shared" si="1"/>
        <v>124.80000000000001</v>
      </c>
    </row>
    <row r="19" spans="1:10" ht="28.5" x14ac:dyDescent="0.45">
      <c r="A19" s="360" t="s">
        <v>23</v>
      </c>
      <c r="B19" s="267" t="str">
        <f>Input_Data!B8</f>
        <v>Tree installation ($)</v>
      </c>
      <c r="C19" s="268" t="s">
        <v>158</v>
      </c>
      <c r="D19" s="175" t="s">
        <v>0</v>
      </c>
      <c r="E19" s="94">
        <f>IF(D19=Data_Lists!$D$2,Input_Data!$C$4,IF(D19=Data_Lists!$D$3,Input_Data!$D$4,IF(D19=Data_Lists!$D$4,Input_Data!$E$4,(IF(D19=Data_Lists!$D$5,Input_Data!$F$4,(IF(D19=Data_Lists!$D$6,Input_Data!$G$4,IF(D19=Data_Lists!$D$7,Input_Data!$H$4,IF(D19=Data_Lists!$D$8,Input_Data!$I$4, IF(D19=Data_Lists!$D$9,Input_Data!$J$4))))))))))</f>
        <v>9</v>
      </c>
      <c r="F19" s="95">
        <f>IF(VLOOKUP(B19,IF($G$7=Data_Entry!$C$17,Data_Entry!$B$20:$J$45, IF($G$7=Data_Entry!$C$47,Data_Entry!$B$50:$J$75,IF($G$7=Data_Entry!$C$78,Data_Entry!$B$81:$J$103))),E19,FALSE)&gt;1, VLOOKUP(B19,IF($G$7=Data_Entry!$C$17,Data_Entry!$B$20:$J$45, IF($G$7=Data_Entry!$C$47,Data_Entry!$B$50:$J$75,IF($G$7=Data_Entry!$C$78,Data_Entry!$B$81:$J$103))),E19,FALSE),VLOOKUP(B19,IF($G$7=Input_Data!$C$3,Input_Data!$B$6:$J$31, IF($G$7=Input_Data!$C$34,Input_Data!$B$37:$J$62,IF($G$7=Input_Data!$C$64,Input_Data!$B$67:$J$92))),E19,FALSE))</f>
        <v>0</v>
      </c>
      <c r="G19" s="61"/>
      <c r="H19" s="155">
        <f t="shared" si="1"/>
        <v>0</v>
      </c>
    </row>
    <row r="20" spans="1:10" x14ac:dyDescent="0.45">
      <c r="A20" s="361"/>
      <c r="B20" s="269" t="s">
        <v>21</v>
      </c>
      <c r="C20" s="269" t="s">
        <v>421</v>
      </c>
      <c r="D20" s="98"/>
      <c r="E20" s="97"/>
      <c r="F20" s="95"/>
      <c r="G20" s="64"/>
      <c r="H20" s="158"/>
    </row>
    <row r="21" spans="1:10" x14ac:dyDescent="0.45">
      <c r="A21" s="361" t="s">
        <v>248</v>
      </c>
      <c r="B21" s="267" t="str">
        <f>Input_Data!B11</f>
        <v>Installation cost ($/hr) per tree</v>
      </c>
      <c r="C21" s="268"/>
      <c r="D21" s="175" t="s">
        <v>103</v>
      </c>
      <c r="E21" s="94">
        <f>IF(D21=Data_Lists!$D$2,Input_Data!$C$4,IF(D21=Data_Lists!$D$3,Input_Data!$D$4,IF(D21=Data_Lists!$D$4,Input_Data!$E$4,(IF(D21=Data_Lists!$D$5,Input_Data!$F$4,(IF(D21=Data_Lists!$D$6,Input_Data!$G$4,IF(D21=Data_Lists!$D$7,Input_Data!$H$4,IF(D21=Data_Lists!$D$8,Input_Data!$I$4, IF(D21=Data_Lists!$D$9,Input_Data!$J$4))))))))))</f>
        <v>5</v>
      </c>
      <c r="F21" s="95">
        <f>IF(H19&lt;=0,IF(VLOOKUP(B21,IF($G$7=Data_Entry!$C$17,Data_Entry!$B$20:$J$45, IF($G$7=Data_Entry!$C$47,Data_Entry!$B$50:$J$75,IF($G$7=Data_Entry!$C$78,Data_Entry!$B$81:$J$103))),E21,FALSE)&gt;1, VLOOKUP(B21,IF($G$7=Data_Entry!$C$17,Data_Entry!$B$20:$J$45, IF($G$7=Data_Entry!$C$47,Data_Entry!$B$50:$J$75,IF($G$7=Data_Entry!$C$78,Data_Entry!$B$81:$J$103))),E21,FALSE),VLOOKUP(B21,IF($G$7=Input_Data!$C$3,Input_Data!$B$6:$J$31, IF($G$7=Input_Data!$C$34,Input_Data!$B$37:$J$62,IF($G$7=Input_Data!$C$64,Input_Data!$B$67:$J$92))),E21,FALSE)),0)</f>
        <v>145.6</v>
      </c>
      <c r="G21" s="61">
        <v>50</v>
      </c>
      <c r="H21" s="152">
        <f>IF(H19&lt;1,IF(G21&gt;0,G21,IF(AND(G21&gt;0,H19&gt;0),H19,F21)),0)</f>
        <v>50</v>
      </c>
    </row>
    <row r="22" spans="1:10" x14ac:dyDescent="0.45">
      <c r="A22" s="361" t="s">
        <v>249</v>
      </c>
      <c r="B22" s="267" t="s">
        <v>22</v>
      </c>
      <c r="C22" s="268"/>
      <c r="D22" s="100"/>
      <c r="E22" s="99"/>
      <c r="F22" s="101"/>
      <c r="G22" s="65">
        <v>3</v>
      </c>
      <c r="H22" s="155">
        <f>IF(H21&gt;0,G22,F22)</f>
        <v>3</v>
      </c>
    </row>
    <row r="23" spans="1:10" x14ac:dyDescent="0.45">
      <c r="A23" s="361" t="s">
        <v>250</v>
      </c>
      <c r="B23" s="267" t="str">
        <f>Input_Data!B12</f>
        <v>Machine rate ($/hr)</v>
      </c>
      <c r="C23" s="268"/>
      <c r="D23" s="175" t="s">
        <v>103</v>
      </c>
      <c r="E23" s="94">
        <f>IF(D23=Data_Lists!$D$2,Input_Data!$C$4,IF(D23=Data_Lists!$D$3,Input_Data!$D$4,IF(D23=Data_Lists!$D$4,Input_Data!$E$4,(IF(D23=Data_Lists!$D$5,Input_Data!$F$4,(IF(D23=Data_Lists!$D$6,Input_Data!$G$4,IF(D23=Data_Lists!$D$7,Input_Data!$H$4,IF(D23=Data_Lists!$D$8,Input_Data!$I$4, IF(D23=Data_Lists!$D$9,Input_Data!$J$4))))))))))</f>
        <v>5</v>
      </c>
      <c r="F23" s="95">
        <f>IF(H19&lt;=0,IF(VLOOKUP(B23,IF($G$7=Data_Entry!$C$17,Data_Entry!$B$20:$J$45, IF($G$7=Data_Entry!$C$47,Data_Entry!$B$50:$J$75,IF($G$7=Data_Entry!$C$78,Data_Entry!$B$81:$J$103))),E23,FALSE)&gt;1, VLOOKUP(B23,IF($G$7=Data_Entry!$C$17,Data_Entry!$B$20:$J$45, IF($G$7=Data_Entry!$C$47,Data_Entry!$B$50:$J$75,IF($G$7=Data_Entry!$C$78,Data_Entry!$B$81:$J$103))),E23,FALSE),VLOOKUP(B23,IF($G$7=Input_Data!$C$3,Input_Data!$B$6:$J$31, IF($G$7=Input_Data!$C$34,Input_Data!$B$37:$J$62,IF($G$7=Input_Data!$C$64,Input_Data!$B$67:$J$92))),E23,FALSE)),0)</f>
        <v>280.8</v>
      </c>
      <c r="G23" s="61">
        <v>20</v>
      </c>
      <c r="H23" s="155">
        <f>IF(G23&gt;0,G23,F23)</f>
        <v>20</v>
      </c>
      <c r="I23" s="31"/>
      <c r="J23" s="84"/>
    </row>
    <row r="24" spans="1:10" ht="14.25" customHeight="1" x14ac:dyDescent="0.45">
      <c r="A24" s="360" t="s">
        <v>194</v>
      </c>
      <c r="B24" s="267" t="str">
        <f>Input_Data!B23</f>
        <v>Watering ($/tree per visit)</v>
      </c>
      <c r="C24" s="267" t="s">
        <v>205</v>
      </c>
      <c r="D24" s="175" t="s">
        <v>103</v>
      </c>
      <c r="E24" s="94">
        <f>IF(D24=Data_Lists!$D$2,Input_Data!$C$4,IF(D24=Data_Lists!$D$3,Input_Data!$D$4,IF(D24=Data_Lists!$D$4,Input_Data!$E$4,(IF(D24=Data_Lists!$D$5,Input_Data!$F$4,(IF(D24=Data_Lists!$D$6,Input_Data!$G$4,IF(D24=Data_Lists!$D$7,Input_Data!$H$4,IF(D24=Data_Lists!$D$8,Input_Data!$I$4, IF(D24=Data_Lists!$D$9,Input_Data!$J$4))))))))))</f>
        <v>5</v>
      </c>
      <c r="F24" s="95">
        <f>IF(VLOOKUP(B24,IF($G$7=Data_Entry!$C$17,Data_Entry!$B$20:$J$45, IF($G$7=Data_Entry!$C$47,Data_Entry!$B$50:$J$75,IF($G$7=Data_Entry!$C$78,Data_Entry!$B$81:$J$103))),E24,FALSE)&gt;1, VLOOKUP(B24,IF($G$7=Data_Entry!$C$17,Data_Entry!$B$20:$J$45, IF($G$7=Data_Entry!$C$47,Data_Entry!$B$50:$J$75,IF($G$7=Data_Entry!$C$78,Data_Entry!$B$81:$J$103))),E24,FALSE),VLOOKUP(B24,IF($G$7=Input_Data!$C$3,Input_Data!$B$6:$J$31, IF($G$7=Input_Data!$C$34,Input_Data!$B$37:$J$62,IF($G$7=Input_Data!$C$64,Input_Data!$B$67:$J$92))),E24,FALSE))</f>
        <v>4</v>
      </c>
      <c r="G24" s="61"/>
      <c r="H24" s="155">
        <f>IF(G24&gt;0,G24,F24)</f>
        <v>4</v>
      </c>
    </row>
    <row r="25" spans="1:10" x14ac:dyDescent="0.45">
      <c r="A25" s="360" t="s">
        <v>195</v>
      </c>
      <c r="B25" s="267" t="s">
        <v>172</v>
      </c>
      <c r="C25" s="267" t="s">
        <v>186</v>
      </c>
      <c r="D25" s="175" t="s">
        <v>178</v>
      </c>
      <c r="E25" s="94">
        <f>IF(Dashboard_1!D25=Data_Lists!O6,Data_Lists!P6,IF(Dashboard_1!D25=Data_Lists!O7,Data_Lists!P7,IF(Dashboard_1!D25=Data_Lists!O8,Data_Lists!P8,IF(Dashboard_1!D25=Data_Lists!O9,Data_Lists!P9,IF(Dashboard_1!D25=Data_Lists!O10,Data_Lists!P10,IF(Dashboard_1!D25=Data_Lists!O11,Data_Lists!P11,IF(Dashboard_1!D25=Data_Lists!O12,Data_Lists!P12,IF(Dashboard_1!D25=Data_Lists!O13,Data_Lists!P13,IF(Dashboard_1!D25=Data_Lists!O14,Data_Lists!P14)))))))))</f>
        <v>12</v>
      </c>
      <c r="F25" s="94">
        <f>E25</f>
        <v>12</v>
      </c>
      <c r="G25" s="65"/>
      <c r="H25" s="159">
        <f>IF(G25&gt;0.00001,G25,F25)</f>
        <v>12</v>
      </c>
    </row>
    <row r="26" spans="1:10" x14ac:dyDescent="0.45">
      <c r="A26" s="360" t="s">
        <v>196</v>
      </c>
      <c r="B26" s="267" t="s">
        <v>173</v>
      </c>
      <c r="C26" s="267" t="s">
        <v>187</v>
      </c>
      <c r="D26" s="175" t="s">
        <v>189</v>
      </c>
      <c r="E26" s="94">
        <f>IF(Dashboard_1!D26=Data_Lists!O6,Data_Lists!P6,IF(Dashboard_1!D26=Data_Lists!O7,Data_Lists!P7,IF(Dashboard_1!D26=Data_Lists!O8,Data_Lists!P8,IF(Dashboard_1!D26=Data_Lists!O9,Data_Lists!P9,IF(Dashboard_1!D26=Data_Lists!O10,Data_Lists!P10,IF(Dashboard_1!D26=Data_Lists!O11,Data_Lists!P11,IF(Dashboard_1!D26=Data_Lists!O12,Data_Lists!P12,IF(Dashboard_1!D26=Data_Lists!O13,Data_Lists!P13,IF(Dashboard_1!D26=Data_Lists!O14,Data_Lists!P14)))))))))</f>
        <v>4</v>
      </c>
      <c r="F26" s="94">
        <f>E26</f>
        <v>4</v>
      </c>
      <c r="G26" s="65"/>
      <c r="H26" s="159">
        <f>IF(G26&gt;0.00001,G26,F26)</f>
        <v>4</v>
      </c>
    </row>
    <row r="27" spans="1:10" x14ac:dyDescent="0.45">
      <c r="A27" s="360" t="s">
        <v>197</v>
      </c>
      <c r="B27" s="267" t="str">
        <f>IF(Input_Data!B24="",Data_Lists!$O$2,Input_Data!B24)</f>
        <v>Strata cells/vault installation ($/tree)</v>
      </c>
      <c r="C27" s="267" t="s">
        <v>364</v>
      </c>
      <c r="D27" s="175" t="s">
        <v>103</v>
      </c>
      <c r="E27" s="94">
        <f>IF(D27=Data_Lists!$D$2,Input_Data!$C$4,IF(D27=Data_Lists!$D$3,Input_Data!$D$4,IF(D27=Data_Lists!$D$4,Input_Data!$E$4,(IF(D27=Data_Lists!$D$5,Input_Data!$F$4,(IF(D27=Data_Lists!$D$6,Input_Data!$G$4,IF(D27=Data_Lists!$D$7,Input_Data!$H$4,IF(D27=Data_Lists!$D$8,Input_Data!$I$4, IF(D27=Data_Lists!$D$9,Input_Data!$J$4))))))))))</f>
        <v>5</v>
      </c>
      <c r="F27" s="95">
        <f>IF(VLOOKUP(B27,IF($G$7=Data_Entry!$C$17,Data_Entry!$B$20:$J$45, IF($G$7=Data_Entry!$C$47,Data_Entry!$B$50:$J$75,IF($G$7=Data_Entry!$C$78,Data_Entry!$B$81:$J$103))),E27,FALSE)&gt;1, VLOOKUP(B27,IF($G$7=Data_Entry!$C$17,Data_Entry!$B$20:$J$45, IF($G$7=Data_Entry!$C$47,Data_Entry!$B$50:$J$75,IF($G$7=Data_Entry!$C$78,Data_Entry!$B$81:$J$103))),E27,FALSE),VLOOKUP(B27,IF($G$7=Input_Data!$C$3,Input_Data!$B$6:$J$31, IF($G$7=Input_Data!$C$34,Input_Data!$B$37:$J$62,IF($G$7=Input_Data!$C$64,Input_Data!$B$67:$J$92))),E27,FALSE))</f>
        <v>0</v>
      </c>
      <c r="G27" s="61"/>
      <c r="H27" s="155">
        <f>IF(G27&gt;0,G27,F27)</f>
        <v>0</v>
      </c>
    </row>
    <row r="28" spans="1:10" x14ac:dyDescent="0.45">
      <c r="A28" s="360" t="s">
        <v>198</v>
      </c>
      <c r="B28" s="267" t="s">
        <v>192</v>
      </c>
      <c r="C28" s="267"/>
      <c r="D28" s="176"/>
      <c r="F28" s="95"/>
      <c r="G28" s="65">
        <v>0</v>
      </c>
      <c r="H28" s="159">
        <f>G28</f>
        <v>0</v>
      </c>
    </row>
    <row r="29" spans="1:10" x14ac:dyDescent="0.45">
      <c r="A29" s="360" t="s">
        <v>199</v>
      </c>
      <c r="B29" s="267" t="str">
        <f>IF(Input_Data!B25="",Data_Lists!$O$2,Input_Data!B25)</f>
        <v>Visual tree inspection ($/tree)</v>
      </c>
      <c r="C29" s="267" t="s">
        <v>206</v>
      </c>
      <c r="D29" s="175" t="s">
        <v>103</v>
      </c>
      <c r="E29" s="94">
        <f>IF(D29=Data_Lists!$D$2,Input_Data!$C$4,IF(D29=Data_Lists!$D$3,Input_Data!$D$4,IF(D29=Data_Lists!$D$4,Input_Data!$E$4,(IF(D29=Data_Lists!$D$5,Input_Data!$F$4,(IF(D29=Data_Lists!$D$6,Input_Data!$G$4,IF(D29=Data_Lists!$D$7,Input_Data!$H$4,IF(D29=Data_Lists!$D$8,Input_Data!$I$4, IF(D29=Data_Lists!$D$9,Input_Data!$J$4))))))))))</f>
        <v>5</v>
      </c>
      <c r="F29" s="95">
        <f>IF(VLOOKUP(B29,IF($G$7=Data_Entry!$C$17,Data_Entry!$B$20:$J$45, IF($G$7=Data_Entry!$C$47,Data_Entry!$B$50:$J$75,IF($G$7=Data_Entry!$C$78,Data_Entry!$B$81:$J$103))),E29,FALSE)&gt;1, VLOOKUP(B29,IF($G$7=Data_Entry!$C$17,Data_Entry!$B$20:$J$45, IF($G$7=Data_Entry!$C$47,Data_Entry!$B$50:$J$75,IF($G$7=Data_Entry!$C$78,Data_Entry!$B$81:$J$103))),E29,FALSE),VLOOKUP(B29,IF($G$7=Input_Data!$C$3,Input_Data!$B$6:$J$31, IF($G$7=Input_Data!$C$34,Input_Data!$B$37:$J$62,IF($G$7=Input_Data!$C$64,Input_Data!$B$67:$J$92))),E29,FALSE))</f>
        <v>3</v>
      </c>
      <c r="G29" s="61"/>
      <c r="H29" s="155">
        <f>IF(G29&gt;0,G29,F29)</f>
        <v>3</v>
      </c>
    </row>
    <row r="30" spans="1:10" x14ac:dyDescent="0.45">
      <c r="A30" s="360" t="s">
        <v>200</v>
      </c>
      <c r="B30" s="267" t="s">
        <v>193</v>
      </c>
      <c r="C30" s="267"/>
      <c r="D30" s="176"/>
      <c r="E30" s="94"/>
      <c r="F30" s="95"/>
      <c r="G30" s="65">
        <v>100</v>
      </c>
      <c r="H30" s="159">
        <f>G30</f>
        <v>100</v>
      </c>
    </row>
    <row r="31" spans="1:10" x14ac:dyDescent="0.45">
      <c r="A31" s="360" t="s">
        <v>201</v>
      </c>
      <c r="B31" s="267" t="s">
        <v>218</v>
      </c>
      <c r="C31" s="267"/>
      <c r="D31" s="175" t="s">
        <v>130</v>
      </c>
      <c r="E31" s="235">
        <f>IF(Dashboard_1!D31=Data_Lists!L2,Data_Lists!M2,IF(Dashboard_1!D31=Data_Lists!L3,Data_Lists!M3,IF(Dashboard_1!D31=Data_Lists!L4,Data_Lists!M4,IF(Dashboard_1!D31=Data_Lists!L5,Data_Lists!M5,IF(Dashboard_1!D31=Data_Lists!L6,Data_Lists!M6,IF(Dashboard_1!D31=Data_Lists!L7,Data_Lists!M7))))))</f>
        <v>1</v>
      </c>
      <c r="F31" s="236">
        <f>E31</f>
        <v>1</v>
      </c>
      <c r="G31" s="65"/>
      <c r="H31" s="157">
        <f>IF(G31&gt;0.00001,G31,F31)</f>
        <v>1</v>
      </c>
    </row>
    <row r="32" spans="1:10" x14ac:dyDescent="0.45">
      <c r="A32" s="360" t="s">
        <v>216</v>
      </c>
      <c r="B32" s="270" t="str">
        <f>IF(Input_Data!B26="",Data_Lists!$O$2,Input_Data!B26)</f>
        <v>User specified cost item 1 ($/tree in Year 1 only)</v>
      </c>
      <c r="C32" s="271" t="s">
        <v>168</v>
      </c>
      <c r="D32" s="175" t="s">
        <v>103</v>
      </c>
      <c r="E32" s="94">
        <f>IF(D32=Data_Lists!$D$2,Input_Data!$C$4,IF(D32=Data_Lists!$D$3,Input_Data!$D$4,IF(D32=Data_Lists!$D$4,Input_Data!$E$4,(IF(D32=Data_Lists!$D$5,Input_Data!$F$4,(IF(D32=Data_Lists!$D$6,Input_Data!$G$4,IF(D32=Data_Lists!$D$7,Input_Data!$H$4,IF(D32=Data_Lists!$D$8,Input_Data!$I$4, IF(D32=Data_Lists!$D$9,Input_Data!$J$4))))))))))</f>
        <v>5</v>
      </c>
      <c r="F32" s="95">
        <f>IF(VLOOKUP(B32,IF($G$7=Data_Entry!$C$17,Data_Entry!$B$20:$J$45, IF($G$7=Data_Entry!$C$47,Data_Entry!$B$50:$J$75,IF($G$7=Data_Entry!$C$78,Data_Entry!$B$81:$J$106))),E32,FALSE)&gt;1, VLOOKUP(B32,IF($G$7=Data_Entry!$C$17,Data_Entry!$B$20:$J$45, IF($G$7=Data_Entry!$C$47,Data_Entry!$B$50:$J$75,IF($G$7=Data_Entry!$C$78,Data_Entry!$B$81:$J$106))),E32,FALSE),VLOOKUP(B32,IF($G$7=Input_Data!$C$3,Input_Data!$B$6:$J$31, IF($G$7=Input_Data!$C$34,Input_Data!$B$37:$J$62,IF($G$7=Input_Data!$C$64,Input_Data!$B$67:$J$92))),E32,FALSE))</f>
        <v>0</v>
      </c>
      <c r="G32" s="61"/>
      <c r="H32" s="155">
        <f>IF(G32&gt;0,G32,F32)</f>
        <v>0</v>
      </c>
    </row>
    <row r="33" spans="1:8" x14ac:dyDescent="0.45">
      <c r="A33" s="360" t="s">
        <v>217</v>
      </c>
      <c r="B33" s="270" t="str">
        <f>IF(Input_Data!B27="",Data_Lists!$O$2,Input_Data!B27)</f>
        <v>User specified cost item 2 ($/tree per annum up to year 2)</v>
      </c>
      <c r="C33" s="271" t="s">
        <v>168</v>
      </c>
      <c r="D33" s="175" t="s">
        <v>103</v>
      </c>
      <c r="E33" s="94">
        <f>IF(D33=Data_Lists!$D$2,Input_Data!$C$4,IF(D33=Data_Lists!$D$3,Input_Data!$D$4,IF(D33=Data_Lists!$D$4,Input_Data!$E$4,(IF(D33=Data_Lists!$D$5,Input_Data!$F$4,(IF(D33=Data_Lists!$D$6,Input_Data!$G$4,IF(D33=Data_Lists!$D$7,Input_Data!$H$4,IF(D33=Data_Lists!$D$8,Input_Data!$I$4, IF(D33=Data_Lists!$D$9,Input_Data!$J$4))))))))))</f>
        <v>5</v>
      </c>
      <c r="F33" s="95">
        <f>IF(VLOOKUP(B33,IF($G$7=Data_Entry!$C$17,Data_Entry!$B$20:$J$45, IF($G$7=Data_Entry!$C$47,Data_Entry!$B$50:$J$75,IF($G$7=Data_Entry!$C$78,Data_Entry!$B$81:$J$106))),E33,FALSE)&gt;1, VLOOKUP(B33,IF($G$7=Data_Entry!$C$17,Data_Entry!$B$20:$J$45, IF($G$7=Data_Entry!$C$47,Data_Entry!$B$50:$J$75,IF($G$7=Data_Entry!$C$78,Data_Entry!$B$81:$J$106))),E33,FALSE),VLOOKUP(B33,IF($G$7=Input_Data!$C$3,Input_Data!$B$6:$J$31, IF($G$7=Input_Data!$C$34,Input_Data!$B$37:$J$62,IF($G$7=Input_Data!$C$64,Input_Data!$B$67:$J$92))),E33,FALSE))</f>
        <v>0</v>
      </c>
      <c r="G33" s="61"/>
      <c r="H33" s="155">
        <f>IF(G33&gt;0,G33,F33)</f>
        <v>0</v>
      </c>
    </row>
    <row r="34" spans="1:8" x14ac:dyDescent="0.45">
      <c r="A34" s="360" t="s">
        <v>29</v>
      </c>
      <c r="B34" s="270" t="str">
        <f>IF(Input_Data!B28="",Data_Lists!$O$2,Input_Data!B28)</f>
        <v>User specified cost item 3 ($/tree per annum)</v>
      </c>
      <c r="C34" s="271" t="s">
        <v>168</v>
      </c>
      <c r="D34" s="175" t="s">
        <v>103</v>
      </c>
      <c r="E34" s="94">
        <f>IF(D34=Data_Lists!$D$2,Input_Data!$C$4,IF(D34=Data_Lists!$D$3,Input_Data!$D$4,IF(D34=Data_Lists!$D$4,Input_Data!$E$4,(IF(D34=Data_Lists!$D$5,Input_Data!$F$4,(IF(D34=Data_Lists!$D$6,Input_Data!$G$4,IF(D34=Data_Lists!$D$7,Input_Data!$H$4,IF(D34=Data_Lists!$D$8,Input_Data!$I$4, IF(D34=Data_Lists!$D$9,Input_Data!$J$4))))))))))</f>
        <v>5</v>
      </c>
      <c r="F34" s="95">
        <f>IF(VLOOKUP(B34,IF($G$7=Data_Entry!$C$17,Data_Entry!$B$20:$J$45, IF($G$7=Data_Entry!$C$47,Data_Entry!$B$50:$J$75,IF($G$7=Data_Entry!$C$78,Data_Entry!$B$81:$J$106))),E34,FALSE)&gt;1, VLOOKUP(B34,IF($G$7=Data_Entry!$C$17,Data_Entry!$B$20:$J$45, IF($G$7=Data_Entry!$C$47,Data_Entry!$B$50:$J$75,IF($G$7=Data_Entry!$C$78,Data_Entry!$B$81:$J$106))),E34,FALSE),VLOOKUP(B34,IF($G$7=Input_Data!$C$3,Input_Data!$B$6:$J$31, IF($G$7=Input_Data!$C$34,Input_Data!$B$37:$J$62,IF($G$7=Input_Data!$C$64,Input_Data!$B$67:$J$92))),E34,FALSE))</f>
        <v>0</v>
      </c>
      <c r="G34" s="61"/>
      <c r="H34" s="155">
        <f>IF(G34&gt;0,G34,F34)</f>
        <v>0</v>
      </c>
    </row>
    <row r="35" spans="1:8" x14ac:dyDescent="0.45">
      <c r="A35" s="360" t="s">
        <v>123</v>
      </c>
      <c r="B35" s="270" t="str">
        <f>IF(Input_Data!B29="",Data_Lists!$O$2,Input_Data!B29)</f>
        <v>User specified cost item 4 ($/tree per annum)</v>
      </c>
      <c r="C35" s="271" t="s">
        <v>168</v>
      </c>
      <c r="D35" s="175" t="s">
        <v>7</v>
      </c>
      <c r="E35" s="94">
        <f>IF(D35=Data_Lists!$D$2,Input_Data!$C$4,IF(D35=Data_Lists!$D$3,Input_Data!$D$4,IF(D35=Data_Lists!$D$4,Input_Data!$E$4,(IF(D35=Data_Lists!$D$5,Input_Data!$F$4,(IF(D35=Data_Lists!$D$6,Input_Data!$G$4,IF(D35=Data_Lists!$D$7,Input_Data!$H$4,IF(D35=Data_Lists!$D$8,Input_Data!$I$4, IF(D35=Data_Lists!$D$9,Input_Data!$J$4))))))))))</f>
        <v>7</v>
      </c>
      <c r="F35" s="95">
        <f>IF(VLOOKUP(B35,IF($G$7=Data_Entry!$C$17,Data_Entry!$B$20:$J$45, IF($G$7=Data_Entry!$C$47,Data_Entry!$B$50:$J$75,IF($G$7=Data_Entry!$C$78,Data_Entry!$B$81:$J$106))),E35,FALSE)&gt;1, VLOOKUP(B35,IF($G$7=Data_Entry!$C$17,Data_Entry!$B$20:$J$45, IF($G$7=Data_Entry!$C$47,Data_Entry!$B$50:$J$75,IF($G$7=Data_Entry!$C$78,Data_Entry!$B$81:$J$106))),E35,FALSE),VLOOKUP(B35,IF($G$7=Input_Data!$C$3,Input_Data!$B$6:$J$31, IF($G$7=Input_Data!$C$34,Input_Data!$B$37:$J$62,IF($G$7=Input_Data!$C$64,Input_Data!$B$67:$J$92))),E35,FALSE))</f>
        <v>0</v>
      </c>
      <c r="G35" s="61"/>
      <c r="H35" s="155">
        <f>IF(G35&gt;0,G35,F35)</f>
        <v>0</v>
      </c>
    </row>
    <row r="36" spans="1:8" x14ac:dyDescent="0.45">
      <c r="A36" s="360" t="s">
        <v>30</v>
      </c>
      <c r="B36" s="270" t="str">
        <f>IF(Input_Data!B30="",Data_Lists!$O$2,Input_Data!B30)</f>
        <v>User specified cost item 5 ($/tree per annum)</v>
      </c>
      <c r="C36" s="271" t="s">
        <v>168</v>
      </c>
      <c r="D36" s="175" t="s">
        <v>103</v>
      </c>
      <c r="E36" s="94">
        <f>IF(D36=Data_Lists!$D$2,Input_Data!$C$4,IF(D36=Data_Lists!$D$3,Input_Data!$D$4,IF(D36=Data_Lists!$D$4,Input_Data!$E$4,(IF(D36=Data_Lists!$D$5,Input_Data!$F$4,(IF(D36=Data_Lists!$D$6,Input_Data!$G$4,IF(D36=Data_Lists!$D$7,Input_Data!$H$4,IF(D36=Data_Lists!$D$8,Input_Data!$I$4, IF(D36=Data_Lists!$D$9,Input_Data!$J$4))))))))))</f>
        <v>5</v>
      </c>
      <c r="F36" s="95">
        <f>IF(VLOOKUP(B36,IF($G$7=Data_Entry!$C$17,Data_Entry!$B$20:$J$45, IF($G$7=Data_Entry!$C$47,Data_Entry!$B$50:$J$75,IF($G$7=Data_Entry!$C$78,Data_Entry!$B$81:$J$106))),E36,FALSE)&gt;1, VLOOKUP(B36,IF($G$7=Data_Entry!$C$17,Data_Entry!$B$20:$J$45, IF($G$7=Data_Entry!$C$47,Data_Entry!$B$50:$J$75,IF($G$7=Data_Entry!$C$78,Data_Entry!$B$81:$J$106))),E36,FALSE),VLOOKUP(B36,IF($G$7=Input_Data!$C$3,Input_Data!$B$6:$J$31, IF($G$7=Input_Data!$C$34,Input_Data!$B$37:$J$62,IF($G$7=Input_Data!$C$64,Input_Data!$B$67:$J$92))),E36,FALSE))</f>
        <v>0</v>
      </c>
      <c r="G36" s="61"/>
      <c r="H36" s="155">
        <f>IF(G36&gt;0,G36,F36)</f>
        <v>0</v>
      </c>
    </row>
    <row r="37" spans="1:8" x14ac:dyDescent="0.45">
      <c r="A37" s="362"/>
      <c r="B37" s="168"/>
      <c r="C37" s="168"/>
      <c r="D37" s="177"/>
      <c r="E37" s="166"/>
      <c r="F37" s="95"/>
      <c r="G37" s="345"/>
      <c r="H37" s="167"/>
    </row>
    <row r="38" spans="1:8" s="105" customFormat="1" x14ac:dyDescent="0.45">
      <c r="A38" s="52"/>
      <c r="B38" s="52" t="s">
        <v>157</v>
      </c>
      <c r="C38" s="51"/>
      <c r="D38" s="29"/>
      <c r="E38" s="51"/>
      <c r="F38" s="51"/>
      <c r="G38" s="346"/>
      <c r="H38" s="51"/>
    </row>
    <row r="39" spans="1:8" ht="30" customHeight="1" x14ac:dyDescent="0.45">
      <c r="A39" s="363" t="s">
        <v>31</v>
      </c>
      <c r="B39" s="237" t="str">
        <f>Input_Data!B44</f>
        <v>Tree protection fencing ($)</v>
      </c>
      <c r="C39" s="242" t="s">
        <v>151</v>
      </c>
      <c r="D39" s="175" t="s">
        <v>103</v>
      </c>
      <c r="E39" s="94">
        <f>IF(D39=Data_Lists!$D$2,Input_Data!$C$4,IF(D39=Data_Lists!$D$3,Input_Data!$D$4,IF(D39=Data_Lists!$D$4,Input_Data!$E$4,(IF(D39=Data_Lists!$D$5,Input_Data!$F$4,(IF(D39=Data_Lists!$D$6,Input_Data!$G$4,IF(D39=Data_Lists!$D$7,Input_Data!$H$4,IF(D39=Data_Lists!$D$8,Input_Data!$I$4, IF(D39=Data_Lists!$D$9,Input_Data!$J$4))))))))))</f>
        <v>5</v>
      </c>
      <c r="F39" s="95">
        <f>IF(VLOOKUP(B39,IF($G$7=Data_Entry!$C$17,Data_Entry!$B$20:$J$45, IF($G$7=Data_Entry!$C$47,Data_Entry!$B$50:$J$75,IF($G$7=Data_Entry!$C$78,Data_Entry!$B$81:$J$103))),E39,FALSE)&gt;1, VLOOKUP(B39,IF($G$7=Data_Entry!$C$17,Data_Entry!$B$20:$J$45, IF($G$7=Data_Entry!$C$47,Data_Entry!$B$50:$J$75,IF($G$7=Data_Entry!$C$78,Data_Entry!$B$81:$J$103))),E39,FALSE),VLOOKUP(B39,IF($G$7=Input_Data!$C$3,Input_Data!$B$6:$J$31, IF($G$7=Input_Data!$C$34,Input_Data!$B$37:$J$62,IF($G$7=Input_Data!$C$64,Input_Data!$B$67:$J$92))),E39,FALSE))</f>
        <v>250</v>
      </c>
      <c r="G39" s="61"/>
      <c r="H39" s="155">
        <f>IF(G39&gt;0,G39,F39)</f>
        <v>250</v>
      </c>
    </row>
    <row r="40" spans="1:8" ht="28.5" x14ac:dyDescent="0.45">
      <c r="A40" s="363" t="s">
        <v>33</v>
      </c>
      <c r="B40" s="237" t="str">
        <f>Input_Data!B19</f>
        <v>Traffic control cost ($)</v>
      </c>
      <c r="C40" s="242" t="s">
        <v>26</v>
      </c>
      <c r="D40" s="175" t="s">
        <v>103</v>
      </c>
      <c r="E40" s="94">
        <f>IF(D40=Data_Lists!$D$2,Input_Data!$C$4,IF(D40=Data_Lists!$D$3,Input_Data!$D$4,IF(D40=Data_Lists!$D$4,Input_Data!$E$4,(IF(D40=Data_Lists!$D$5,Input_Data!$F$4,(IF(D40=Data_Lists!$D$6,Input_Data!$G$4,IF(D40=Data_Lists!$D$7,Input_Data!$H$4,IF(D40=Data_Lists!$D$8,Input_Data!$I$4, IF(D40=Data_Lists!$D$9,Input_Data!$J$4))))))))))</f>
        <v>5</v>
      </c>
      <c r="F40" s="95">
        <f>IF(VLOOKUP(B40,IF($G$7=Data_Entry!$C$17,Data_Entry!$B$20:$J$45, IF($G$7=Data_Entry!$C$47,Data_Entry!$B$50:$J$75,IF($G$7=Data_Entry!$C$78,Data_Entry!$B$81:$J$103))),E40,FALSE)&gt;1, VLOOKUP(B40,IF($G$7=Data_Entry!$C$17,Data_Entry!$B$20:$J$45, IF($G$7=Data_Entry!$C$47,Data_Entry!$B$50:$J$75,IF($G$7=Data_Entry!$C$78,Data_Entry!$B$81:$J$103))),E40,FALSE),VLOOKUP(B40,IF($G$7=Input_Data!$C$3,Input_Data!$B$6:$J$31, IF($G$7=Input_Data!$C$34,Input_Data!$B$37:$J$62,IF($G$7=Input_Data!$C$64,Input_Data!$B$67:$J$92))),E40,FALSE))</f>
        <v>0</v>
      </c>
      <c r="G40" s="61"/>
      <c r="H40" s="155">
        <f>IF(G40&gt;0,G40,F40)</f>
        <v>0</v>
      </c>
    </row>
    <row r="41" spans="1:8" ht="28.5" x14ac:dyDescent="0.45">
      <c r="A41" s="363" t="s">
        <v>219</v>
      </c>
      <c r="B41" s="237" t="str">
        <f>Input_Data!B20</f>
        <v>Guard rails ($)</v>
      </c>
      <c r="C41" s="242" t="s">
        <v>245</v>
      </c>
      <c r="D41" s="175" t="s">
        <v>103</v>
      </c>
      <c r="E41" s="94">
        <f>IF(D41=Data_Lists!$D$2,Input_Data!$C$4,IF(D41=Data_Lists!$D$3,Input_Data!$D$4,IF(D41=Data_Lists!$D$4,Input_Data!$E$4,(IF(D41=Data_Lists!$D$5,Input_Data!$F$4,(IF(D41=Data_Lists!$D$6,Input_Data!$G$4,IF(D41=Data_Lists!$D$7,Input_Data!$H$4,IF(D41=Data_Lists!$D$8,Input_Data!$I$4, IF(D41=Data_Lists!$D$9,Input_Data!$J$4))))))))))</f>
        <v>5</v>
      </c>
      <c r="F41" s="95">
        <f>IF(VLOOKUP(B41,IF($G$7=Data_Entry!$C$17,Data_Entry!$B$20:$J$45, IF($G$7=Data_Entry!$C$47,Data_Entry!$B$50:$J$75,IF($G$7=Data_Entry!$C$78,Data_Entry!$B$81:$J$103))),E41,FALSE)&gt;1, VLOOKUP(B41,IF($G$7=Data_Entry!$C$17,Data_Entry!$B$20:$J$45, IF($G$7=Data_Entry!$C$47,Data_Entry!$B$50:$J$75,IF($G$7=Data_Entry!$C$78,Data_Entry!$B$81:$J$103))),E41,FALSE),VLOOKUP(B41,IF($G$7=Input_Data!$C$3,Input_Data!$B$6:$J$31, IF($G$7=Input_Data!$C$34,Input_Data!$B$37:$J$62,IF($G$7=Input_Data!$C$64,Input_Data!$B$67:$J$92))),E41,FALSE))</f>
        <v>224</v>
      </c>
      <c r="G41" s="61"/>
      <c r="H41" s="155">
        <f>IF(G41&gt;0,G41,F41)</f>
        <v>224</v>
      </c>
    </row>
    <row r="42" spans="1:8" x14ac:dyDescent="0.45">
      <c r="A42" s="363" t="s">
        <v>220</v>
      </c>
      <c r="B42" s="237" t="s">
        <v>234</v>
      </c>
      <c r="C42" s="242"/>
      <c r="D42" s="96"/>
      <c r="E42" s="93"/>
      <c r="F42" s="101"/>
      <c r="G42" s="65"/>
      <c r="H42" s="159">
        <f>IF(G42&gt;0,G42,F42)</f>
        <v>0</v>
      </c>
    </row>
    <row r="43" spans="1:8" x14ac:dyDescent="0.45">
      <c r="A43" s="364"/>
      <c r="B43" s="27" t="s">
        <v>124</v>
      </c>
      <c r="C43" s="23"/>
      <c r="D43" s="106"/>
      <c r="E43" s="23"/>
      <c r="F43" s="74"/>
      <c r="G43" s="60"/>
      <c r="H43" s="35"/>
    </row>
    <row r="44" spans="1:8" x14ac:dyDescent="0.45">
      <c r="A44" s="339" t="s">
        <v>221</v>
      </c>
      <c r="B44" s="263" t="str">
        <f>Input_Data!B16</f>
        <v>Maintenance in year 1 ($/tree)</v>
      </c>
      <c r="C44" s="264" t="s">
        <v>27</v>
      </c>
      <c r="D44" s="178" t="s">
        <v>103</v>
      </c>
      <c r="E44" s="32">
        <f>IF(D44=Data_Lists!$D$2,Input_Data!$C$4,IF(D44=Data_Lists!$D$3,Input_Data!$D$4,IF(D44=Data_Lists!$D$4,Input_Data!$E$4,(IF(D44=Data_Lists!$D$5,Input_Data!$F$4,(IF(D44=Data_Lists!$D$6,Input_Data!$G$4,IF(D44=Data_Lists!$D$7,Input_Data!$H$4,IF(D44=Data_Lists!$D$8,Input_Data!$I$4, IF(D44=Data_Lists!$D$9,Input_Data!$J$4))))))))))</f>
        <v>5</v>
      </c>
      <c r="F44" s="33">
        <f>IF(VLOOKUP(B44,IF($G$7=Data_Entry!$C$17,Data_Entry!$B$20:$J$45, IF($G$7=Data_Entry!$C$47,Data_Entry!$B$50:$J$75,IF($G$7=Data_Entry!$C$78,Data_Entry!$B$81:$J$103))),E44,FALSE)&gt;1, VLOOKUP(B44,IF($G$7=Data_Entry!$C$17,Data_Entry!$B$20:$J$45, IF($G$7=Data_Entry!$C$47,Data_Entry!$B$50:$J$75,IF($G$7=Data_Entry!$C$78,Data_Entry!$B$81:$J$103))),E44,FALSE),VLOOKUP(B44,IF($G$7=Input_Data!$C$3,Input_Data!$B$6:$J$31, IF($G$7=Input_Data!$C$34,Input_Data!$B$37:$J$62,IF($G$7=Input_Data!$C$64,Input_Data!$B$67:$J$92))),E44,FALSE))</f>
        <v>236.42666666666668</v>
      </c>
      <c r="G44" s="59"/>
      <c r="H44" s="152">
        <f>IF(G44&gt;0,G44,F44)</f>
        <v>236.42666666666668</v>
      </c>
    </row>
    <row r="45" spans="1:8" x14ac:dyDescent="0.45">
      <c r="A45" s="339" t="s">
        <v>222</v>
      </c>
      <c r="B45" s="265" t="str">
        <f>Input_Data!B17</f>
        <v>Maintenance in year 2 ($/tree)</v>
      </c>
      <c r="C45" s="266" t="s">
        <v>28</v>
      </c>
      <c r="D45" s="178" t="s">
        <v>103</v>
      </c>
      <c r="E45" s="32">
        <f>IF(D45=Data_Lists!$D$2,Input_Data!$C$4,IF(D45=Data_Lists!$D$3,Input_Data!$D$4,IF(D45=Data_Lists!$D$4,Input_Data!$E$4,(IF(D45=Data_Lists!$D$5,Input_Data!$F$4,(IF(D45=Data_Lists!$D$6,Input_Data!$G$4,IF(D45=Data_Lists!$D$7,Input_Data!$H$4,IF(D45=Data_Lists!$D$8,Input_Data!$I$4, IF(D45=Data_Lists!$D$9,Input_Data!$J$4))))))))))</f>
        <v>5</v>
      </c>
      <c r="F45" s="33">
        <f>IF(VLOOKUP(B45,IF($G$7=Data_Entry!$C$17,Data_Entry!$B$20:$J$45, IF($G$7=Data_Entry!$C$47,Data_Entry!$B$50:$J$75,IF($G$7=Data_Entry!$C$78,Data_Entry!$B$81:$J$103))),E45,FALSE)&gt;1, VLOOKUP(B45,IF($G$7=Data_Entry!$C$17,Data_Entry!$B$20:$J$45, IF($G$7=Data_Entry!$C$47,Data_Entry!$B$50:$J$75,IF($G$7=Data_Entry!$C$78,Data_Entry!$B$81:$J$103))),E45,FALSE),VLOOKUP(B45,IF($G$7=Input_Data!$C$3,Input_Data!$B$6:$J$31, IF($G$7=Input_Data!$C$34,Input_Data!$B$37:$J$62,IF($G$7=Input_Data!$C$64,Input_Data!$B$67:$J$92))),E45,FALSE))</f>
        <v>62.400000000000006</v>
      </c>
      <c r="G45" s="59"/>
      <c r="H45" s="152">
        <f>IF(G45&gt;0,G45,F45)</f>
        <v>62.400000000000006</v>
      </c>
    </row>
    <row r="46" spans="1:8" x14ac:dyDescent="0.45">
      <c r="A46" s="339" t="s">
        <v>223</v>
      </c>
      <c r="B46" s="265" t="str">
        <f>Input_Data!B18</f>
        <v>Maintenance in year 3 and onwards (annual $/tree)</v>
      </c>
      <c r="C46" s="266"/>
      <c r="D46" s="178" t="s">
        <v>103</v>
      </c>
      <c r="E46" s="32">
        <f>IF(D46=Data_Lists!$D$2,Input_Data!$C$4,IF(D46=Data_Lists!$D$3,Input_Data!$D$4,IF(D46=Data_Lists!$D$4,Input_Data!$E$4,(IF(D46=Data_Lists!$D$5,Input_Data!$F$4,(IF(D46=Data_Lists!$D$6,Input_Data!$G$4,IF(D46=Data_Lists!$D$7,Input_Data!$H$4,IF(D46=Data_Lists!$D$8,Input_Data!$I$4, IF(D46=Data_Lists!$D$9,Input_Data!$J$4))))))))))</f>
        <v>5</v>
      </c>
      <c r="F46" s="33">
        <f>IF(VLOOKUP(B46,IF($G$7=Data_Entry!$C$17,Data_Entry!$B$20:$J$45, IF($G$7=Data_Entry!$C$47,Data_Entry!$B$50:$J$75,IF($G$7=Data_Entry!$C$78,Data_Entry!$B$81:$J$103))),E46,FALSE)&gt;1, VLOOKUP(B46,IF($G$7=Data_Entry!$C$17,Data_Entry!$B$20:$J$45, IF($G$7=Data_Entry!$C$47,Data_Entry!$B$50:$J$75,IF($G$7=Data_Entry!$C$78,Data_Entry!$B$81:$J$103))),E46,FALSE),VLOOKUP(B46,IF($G$7=Input_Data!$C$3,Input_Data!$B$6:$J$31, IF($G$7=Input_Data!$C$34,Input_Data!$B$37:$J$62,IF($G$7=Input_Data!$C$64,Input_Data!$B$67:$J$92))),E46,FALSE))</f>
        <v>46.800000000000004</v>
      </c>
      <c r="G46" s="59"/>
      <c r="H46" s="152">
        <f>IF(G46&gt;0,G46,F46)</f>
        <v>46.800000000000004</v>
      </c>
    </row>
    <row r="47" spans="1:8" ht="15.75" customHeight="1" x14ac:dyDescent="0.45">
      <c r="A47" s="360" t="s">
        <v>224</v>
      </c>
      <c r="B47" s="267" t="str">
        <f>Input_Data!B52</f>
        <v>Arborist tree health inspection ($/tree)</v>
      </c>
      <c r="C47" s="268" t="s">
        <v>126</v>
      </c>
      <c r="D47" s="175" t="s">
        <v>103</v>
      </c>
      <c r="E47" s="94">
        <f>IF(D47=Data_Lists!$D$2,Input_Data!$C$4,IF(D47=Data_Lists!$D$3,Input_Data!$D$4,IF(D47=Data_Lists!$D$4,Input_Data!$E$4,(IF(D47=Data_Lists!$D$5,Input_Data!$F$4,(IF(D47=Data_Lists!$D$6,Input_Data!$G$4,IF(D47=Data_Lists!$D$7,Input_Data!$H$4,IF(D47=Data_Lists!$D$8,Input_Data!$I$4, IF(D47=Data_Lists!$D$9,Input_Data!$J$4))))))))))</f>
        <v>5</v>
      </c>
      <c r="F47" s="95">
        <f>IF(VLOOKUP(B47,IF($G$7=Data_Entry!$C$17,Data_Entry!$B$20:$J$45, IF($G$7=Data_Entry!$C$47,Data_Entry!$B$50:$J$75,IF($G$7=Data_Entry!$C$78,Data_Entry!$B$81:$J$103))),E47,FALSE)&gt;1, VLOOKUP(B47,IF($G$7=Data_Entry!$C$17,Data_Entry!$B$20:$J$45, IF($G$7=Data_Entry!$C$47,Data_Entry!$B$50:$J$75,IF($G$7=Data_Entry!$C$78,Data_Entry!$B$81:$J$103))),E47,FALSE),VLOOKUP(B47,IF($G$7=Input_Data!$C$3,Input_Data!$B$6:$J$31, IF($G$7=Input_Data!$C$34,Input_Data!$B$37:$J$62,IF($G$7=Input_Data!$C$64,Input_Data!$B$67:$J$92))),E47,FALSE))</f>
        <v>250</v>
      </c>
      <c r="G47" s="61"/>
      <c r="H47" s="155">
        <f>IF(G47&gt;0,G47,F47)</f>
        <v>250</v>
      </c>
    </row>
    <row r="48" spans="1:8" ht="15.75" customHeight="1" x14ac:dyDescent="0.45">
      <c r="A48" s="339" t="s">
        <v>225</v>
      </c>
      <c r="B48" s="267" t="s">
        <v>235</v>
      </c>
      <c r="C48" s="268"/>
      <c r="D48" s="94"/>
      <c r="E48" s="94"/>
      <c r="F48" s="95"/>
      <c r="G48" s="65">
        <v>2</v>
      </c>
      <c r="H48" s="159">
        <f>IF(G48&gt;0.00001,G48,F48)</f>
        <v>2</v>
      </c>
    </row>
    <row r="49" spans="1:12" x14ac:dyDescent="0.45">
      <c r="A49" s="339" t="s">
        <v>265</v>
      </c>
      <c r="B49" s="265" t="s">
        <v>264</v>
      </c>
      <c r="C49" s="266" t="s">
        <v>128</v>
      </c>
      <c r="D49" s="178" t="s">
        <v>130</v>
      </c>
      <c r="E49" s="32"/>
      <c r="F49" s="236">
        <f>IF(D49=Data_Lists!L2,Data_Lists!M2,IF(D49=Data_Lists!L3,Data_Lists!M3,IF(D49=Data_Lists!L4,Data_Lists!M4,IF(D49=Data_Lists!L5,Data_Lists!M5,IF(D49=Data_Lists!L6,Data_Lists!M6,IF(D49=Data_Lists!L6,Data_Lists!M7,0))))))</f>
        <v>1</v>
      </c>
      <c r="G49" s="65"/>
      <c r="H49" s="157">
        <f>IF(G49&gt;0.00001,G49,F49)</f>
        <v>1</v>
      </c>
    </row>
    <row r="50" spans="1:12" s="116" customFormat="1" x14ac:dyDescent="0.45">
      <c r="A50" s="339" t="s">
        <v>226</v>
      </c>
      <c r="B50" s="266" t="str">
        <f>Input_Data!B53</f>
        <v>GIS mapping and inventory assessment ($)</v>
      </c>
      <c r="C50" s="266" t="s">
        <v>125</v>
      </c>
      <c r="D50" s="179" t="s">
        <v>103</v>
      </c>
      <c r="E50" s="115">
        <f>IF(D50=Data_Lists!$D$2,Input_Data!$C$4,IF(D50=Data_Lists!$D$3,Input_Data!$D$4,IF(D50=Data_Lists!$D$4,Input_Data!$E$4,(IF(D50=Data_Lists!$D$5,Input_Data!$F$4,(IF(D50=Data_Lists!$D$6,Input_Data!$G$4,IF(D50=Data_Lists!$D$7,Input_Data!$H$4,IF(D50=Data_Lists!$D$8,Input_Data!$I$4, IF(D50=Data_Lists!$D$9,Input_Data!$J$4))))))))))</f>
        <v>5</v>
      </c>
      <c r="F50" s="117">
        <f>IF(VLOOKUP(B50,IF($G$7=Data_Entry!$C$17,Data_Entry!$B$20:$J$45, IF($G$7=Data_Entry!$C$47,Data_Entry!$B$50:$J$75,IF($G$7=Data_Entry!$C$78,Data_Entry!$B$81:$J$103))),E50,FALSE)&gt;1, VLOOKUP(B50,IF($G$7=Data_Entry!$C$17,Data_Entry!$B$20:$J$45, IF($G$7=Data_Entry!$C$47,Data_Entry!$B$50:$J$75,IF($G$7=Data_Entry!$C$78,Data_Entry!$B$81:$J$103))),E50,FALSE),VLOOKUP(B50,IF($G$7=Input_Data!$C$3,Input_Data!$B$6:$J$31, IF($G$7=Input_Data!$C$34,Input_Data!$B$37:$J$62,IF($G$7=Input_Data!$C$64,Input_Data!$B$67:$J$92))),E50,FALSE))</f>
        <v>2.4</v>
      </c>
      <c r="G50" s="135"/>
      <c r="H50" s="154">
        <f>IF(G50&gt;0,G50,F50)</f>
        <v>2.4</v>
      </c>
    </row>
    <row r="51" spans="1:12" x14ac:dyDescent="0.45">
      <c r="A51" s="364"/>
      <c r="B51" s="383" t="s">
        <v>425</v>
      </c>
      <c r="C51" s="383"/>
      <c r="D51" s="383"/>
      <c r="E51" s="383"/>
      <c r="F51" s="18"/>
      <c r="G51" s="60"/>
      <c r="H51" s="35"/>
    </row>
    <row r="52" spans="1:12" ht="28.5" x14ac:dyDescent="0.45">
      <c r="A52" s="365" t="s">
        <v>227</v>
      </c>
      <c r="B52" s="103" t="s">
        <v>236</v>
      </c>
      <c r="C52" s="103" t="s">
        <v>232</v>
      </c>
      <c r="D52" s="103"/>
      <c r="E52" s="103"/>
      <c r="F52" s="193">
        <v>0.15</v>
      </c>
      <c r="G52" s="194"/>
      <c r="H52" s="195">
        <f>IF(G52&gt;0,G52,F52)</f>
        <v>0.15</v>
      </c>
    </row>
    <row r="53" spans="1:12" ht="28.5" x14ac:dyDescent="0.45">
      <c r="A53" s="358" t="s">
        <v>228</v>
      </c>
      <c r="B53" s="93" t="s">
        <v>271</v>
      </c>
      <c r="C53" s="93" t="s">
        <v>233</v>
      </c>
      <c r="D53" s="93"/>
      <c r="E53" s="93"/>
      <c r="F53" s="191">
        <v>0.05</v>
      </c>
      <c r="G53" s="118"/>
      <c r="H53" s="192">
        <f>IF(G53&gt;0,G53,F53)</f>
        <v>0.05</v>
      </c>
    </row>
    <row r="54" spans="1:12" ht="28.5" x14ac:dyDescent="0.45">
      <c r="A54" s="366" t="s">
        <v>229</v>
      </c>
      <c r="B54" s="114" t="s">
        <v>237</v>
      </c>
      <c r="C54" s="114" t="s">
        <v>152</v>
      </c>
      <c r="D54" s="114"/>
      <c r="E54" s="114"/>
      <c r="F54" s="165">
        <v>0.02</v>
      </c>
      <c r="G54" s="118"/>
      <c r="H54" s="192">
        <f>IF(G54&gt;0,G54,F54)</f>
        <v>0.02</v>
      </c>
      <c r="K54" t="s">
        <v>89</v>
      </c>
    </row>
    <row r="55" spans="1:12" x14ac:dyDescent="0.45">
      <c r="A55" s="366" t="s">
        <v>270</v>
      </c>
      <c r="B55" s="114" t="s">
        <v>238</v>
      </c>
      <c r="C55" s="114" t="s">
        <v>239</v>
      </c>
      <c r="D55" s="114"/>
      <c r="E55" s="114"/>
      <c r="F55" s="165">
        <v>0.03</v>
      </c>
      <c r="G55" s="118"/>
      <c r="H55" s="192">
        <f>IF(G55&gt;0,G55,F55)</f>
        <v>0.03</v>
      </c>
    </row>
    <row r="56" spans="1:12" x14ac:dyDescent="0.45">
      <c r="A56" s="364"/>
      <c r="B56" s="27" t="s">
        <v>32</v>
      </c>
      <c r="C56" s="23"/>
      <c r="D56" s="23"/>
      <c r="E56" s="23"/>
      <c r="F56" s="60"/>
      <c r="G56" s="18"/>
      <c r="H56" s="35"/>
    </row>
    <row r="57" spans="1:12" ht="28.5" x14ac:dyDescent="0.45">
      <c r="A57" s="365" t="s">
        <v>230</v>
      </c>
      <c r="B57" s="102" t="s">
        <v>34</v>
      </c>
      <c r="C57" s="103" t="s">
        <v>35</v>
      </c>
      <c r="D57" s="103"/>
      <c r="E57" s="103"/>
      <c r="F57" s="202">
        <v>7.0000000000000007E-2</v>
      </c>
      <c r="G57" s="194"/>
      <c r="H57" s="203">
        <f>IF(G57&gt;0,G57,F57)</f>
        <v>7.0000000000000007E-2</v>
      </c>
    </row>
    <row r="58" spans="1:12" x14ac:dyDescent="0.45">
      <c r="A58" s="358" t="s">
        <v>231</v>
      </c>
      <c r="B58" s="63" t="s">
        <v>36</v>
      </c>
      <c r="C58" s="93" t="s">
        <v>37</v>
      </c>
      <c r="D58" s="93"/>
      <c r="E58" s="93"/>
      <c r="F58" s="200">
        <v>2.5000000000000001E-2</v>
      </c>
      <c r="G58" s="118"/>
      <c r="H58" s="201">
        <f>IF(G58&gt;0,G58,F58)</f>
        <v>2.5000000000000001E-2</v>
      </c>
    </row>
    <row r="59" spans="1:12" ht="14.65" thickBot="1" x14ac:dyDescent="0.5">
      <c r="A59" s="367" t="s">
        <v>274</v>
      </c>
      <c r="B59" s="204" t="s">
        <v>275</v>
      </c>
      <c r="C59" s="205" t="s">
        <v>276</v>
      </c>
      <c r="D59" s="205"/>
      <c r="E59" s="205"/>
      <c r="F59" s="207">
        <v>30</v>
      </c>
      <c r="G59" s="375"/>
      <c r="H59" s="351">
        <f>F59</f>
        <v>30</v>
      </c>
    </row>
    <row r="60" spans="1:12" s="47" customFormat="1" ht="14.65" thickTop="1" x14ac:dyDescent="0.45">
      <c r="A60" s="110"/>
      <c r="B60" s="110"/>
      <c r="C60" s="110"/>
      <c r="D60" s="110"/>
      <c r="E60" s="110"/>
      <c r="F60" s="110"/>
      <c r="G60" s="110"/>
      <c r="H60" s="110"/>
      <c r="I60" s="83"/>
      <c r="J60" s="83"/>
      <c r="K60" s="83"/>
      <c r="L60" s="83"/>
    </row>
    <row r="61" spans="1:12" s="47" customFormat="1" hidden="1" x14ac:dyDescent="0.45">
      <c r="A61"/>
      <c r="B61"/>
      <c r="C61"/>
      <c r="D61" s="17"/>
      <c r="E61"/>
      <c r="F61"/>
      <c r="G61"/>
      <c r="H61"/>
    </row>
  </sheetData>
  <sheetProtection algorithmName="SHA-512" hashValue="1DX/jYj8XyOMaNsEYgB+oHXnPqwh0ABK+J7sdk/oSbfz8sS2BPcDsUkFNV2BzKvCVDPBuEwY+rEaKrZv/IZRuQ==" saltValue="NzJ5KiykISCTkSz4cyjcrg==" spinCount="100000" sheet="1" formatCells="0" formatColumns="0" formatRows="0" selectLockedCells="1"/>
  <mergeCells count="3">
    <mergeCell ref="B2:H2"/>
    <mergeCell ref="B51:E51"/>
    <mergeCell ref="C8:C9"/>
  </mergeCells>
  <phoneticPr fontId="10" type="noConversion"/>
  <dataValidations xWindow="831" yWindow="362" count="12">
    <dataValidation type="whole" operator="greaterThan" allowBlank="1" showInputMessage="1" showErrorMessage="1" errorTitle="Number of trees" error="Enter a numerial value greater than 0" promptTitle="Number of trees in the project" prompt="Enter a numerial value greater than 0" sqref="G6" xr:uid="{DD06D297-9A1D-446F-9CAC-797D105ECF78}">
      <formula1>0</formula1>
    </dataValidation>
    <dataValidation allowBlank="1" showInputMessage="1" showErrorMessage="1" promptTitle="No. of trees installed per hr" prompt="Enter the number trees that will be installed per hour" sqref="G22" xr:uid="{D6B4FF40-21F5-4ED0-8B84-F2F507CB124E}"/>
    <dataValidation type="whole" operator="greaterThanOrEqual" allowBlank="1" showInputMessage="1" showErrorMessage="1" error="Enter a number greater or equal to 0" promptTitle="Trees to be removed" prompt="Where applicable, enter the number of trees that will be removed from the project site" sqref="G8" xr:uid="{751EA40A-062B-4275-8ECC-5EBBF7399D49}">
      <formula1>0</formula1>
    </dataValidation>
    <dataValidation type="whole" operator="greaterThanOrEqual" allowBlank="1" showInputMessage="1" showErrorMessage="1" promptTitle="Number of guard rails" prompt="Enter the number of guard rails required." sqref="G42" xr:uid="{3E70818A-5DFE-4359-97F4-E6EA3BE12768}">
      <formula1>0</formula1>
    </dataValidation>
    <dataValidation allowBlank="1" showInputMessage="1" showErrorMessage="1" prompt="If you intend to have a maintenence program, enter information here." sqref="B43 B21:B22" xr:uid="{E1A6737D-4D49-484F-A9C1-12123E1CB8D6}"/>
    <dataValidation allowBlank="1" showInputMessage="1" showErrorMessage="1" prompt="Start by entering the number of trees in your project and selecting your average pot size ( 45L, 75L or 250L)." sqref="B5" xr:uid="{ECBDD4EE-9595-44C7-8259-239D246EE042}"/>
    <dataValidation allowBlank="1" showInputMessage="1" showErrorMessage="1" promptTitle="Own price estimate" prompt="If you have better estimates than those in the drop-down menus, enter your values under this column_x000a_" sqref="G10" xr:uid="{92DBF4B9-A590-4D55-9D24-72C417563E2C}"/>
    <dataValidation allowBlank="1" showInputMessage="1" showErrorMessage="1" promptTitle="Financial rates" prompt="Enter the financial paramaters you typically use for investment decisions." sqref="B56" xr:uid="{FAB00E47-8F7D-4E56-96CF-608C0A245786}"/>
    <dataValidation allowBlank="1" showInputMessage="1" showErrorMessage="1" promptTitle="Tree mortality and maintenance" prompt="Q16 &amp; 18 are designed to allow you to model the benefits of good maintenance." sqref="B51:E51" xr:uid="{55EFCC15-57A0-46A5-9D3B-B7CD56B50EB2}"/>
    <dataValidation type="whole" allowBlank="1" showInputMessage="1" showErrorMessage="1" errorTitle="Check your number" error="Enter a whole number greater than 0 but less or equal to number of trees in your project" promptTitle="Trees in StrataVault/Strata cell" prompt="If applicable enter the number of trees to be planted in a StrataVault or strate cells. Must be less or equal to the total number of trees in your project." sqref="G28" xr:uid="{B2A668E4-2D7D-4C8C-A926-C6471C592B6B}">
      <formula1>0</formula1>
      <formula2>G6</formula2>
    </dataValidation>
    <dataValidation type="whole" allowBlank="1" showInputMessage="1" showErrorMessage="1" errorTitle="Check your number" error="Enter a whole number greater than 0 but less or equal to number of trees in your project" promptTitle="Concrete cutting" prompt="Number of trees requiring concrete cutting" sqref="G12" xr:uid="{3B038547-E63B-4324-BCBE-493DDD5E99BA}">
      <formula1>0</formula1>
      <formula2>G6</formula2>
    </dataValidation>
    <dataValidation allowBlank="1" showInputMessage="1" showErrorMessage="1" promptTitle="Arborist inspection" prompt="Average number of trees inspected by an arborist per year" sqref="G48" xr:uid="{790918B1-D78D-4CB4-8D41-66C2A565FA2C}"/>
  </dataValidations>
  <pageMargins left="0.7" right="0.7" top="0.75" bottom="0.75" header="0.3" footer="0.3"/>
  <ignoredErrors>
    <ignoredError sqref="A32 A33:A36" numberStoredAsText="1"/>
    <ignoredError sqref="H28:H29" formula="1"/>
  </ignoredErrors>
  <extLst>
    <ext xmlns:x14="http://schemas.microsoft.com/office/spreadsheetml/2009/9/main" uri="{CCE6A557-97BC-4b89-ADB6-D9C93CAAB3DF}">
      <x14:dataValidations xmlns:xm="http://schemas.microsoft.com/office/excel/2006/main" xWindow="831" yWindow="362" count="40">
        <x14:dataValidation type="list" allowBlank="1" showInputMessage="1" showErrorMessage="1" errorTitle="Plant pot size" error="Select plant pot size in litres from the drop down menu" promptTitle="Plant size" prompt="Select plant pot size in litres from the drop down menu" xr:uid="{27A19F20-88EC-4662-8AE5-5049AD7A3DA3}">
          <x14:formula1>
            <xm:f>Data_Lists!$B$2:$B$4</xm:f>
          </x14:formula1>
          <xm:sqref>G7</xm:sqref>
        </x14:dataValidation>
        <x14:dataValidation type="list" allowBlank="1" showInputMessage="1" showErrorMessage="1" errorTitle="Discount rate" error="Recommended base discount rate is 7% as per the Office of Best Practice Regulation." promptTitle="Discount rate" prompt="Recommended base discount rate is 7% as per the Office of Best Practice Regulation. Use the other rates for sensitivity analysis purposes" xr:uid="{E5187860-F6F7-47DB-B0E7-2C642F4B8345}">
          <x14:formula1>
            <xm:f>Data_Lists!$I$2:$I$9</xm:f>
          </x14:formula1>
          <xm:sqref>F57</xm:sqref>
        </x14:dataValidation>
        <x14:dataValidation type="list" allowBlank="1" showInputMessage="1" showErrorMessage="1" errorTitle="Concrete cutting" error="Select a percentile from the drop down menu" promptTitle="Concrete cutting" prompt="Select the cost level most appropriate to your project. Cost range from percentile p0 to p100, with p0 representing the lowest cost and p100 represent the highest cost. If the cost is not relevant select N/A" xr:uid="{9A154C33-2587-46A8-B96F-71844F176152}">
          <x14:formula1>
            <xm:f>Data_Lists!$D$2:$D$9</xm:f>
          </x14:formula1>
          <xm:sqref>D11</xm:sqref>
        </x14:dataValidation>
        <x14:dataValidation type="list" allowBlank="1" showInputMessage="1" showErrorMessage="1" errorTitle="Tree supply cost" promptTitle="Tree supply cost" prompt="Select the cost level most appropriate to your project. Cost range from percentile p0 to p100, with p0 representing the lowest cost and p100 represent the highest cost. If the cost is not relevant select N/A" xr:uid="{798F79B4-033F-405B-839C-E5CFE499A767}">
          <x14:formula1>
            <xm:f>Data_Lists!$D$2:$D$9</xm:f>
          </x14:formula1>
          <xm:sqref>D13</xm:sqref>
        </x14:dataValidation>
        <x14:dataValidation type="list" allowBlank="1" showInputMessage="1" showErrorMessage="1" promptTitle="Mulching cost" prompt="Select the cost level most appropriate to your project. Cost range from percentile p0 to p100, with p0 representing the lowest cost and p100 represent the highest cost. If the cost is not relevant select N/A" xr:uid="{E5EC8739-96A5-4BA6-A463-807CAC044A2D}">
          <x14:formula1>
            <xm:f>Data_Lists!$D$2:$D$9</xm:f>
          </x14:formula1>
          <xm:sqref>D16:D17</xm:sqref>
        </x14:dataValidation>
        <x14:dataValidation type="list" allowBlank="1" showInputMessage="1" showErrorMessage="1" promptTitle="Stakes and ties cost" prompt="Select the cost level most appropriate to your project. Cost range from percentile p0 to p100, with p0 representing the lowest cost and p100 represent the highest cost. If the cost is not relevant select N/A" xr:uid="{E9F121B5-D10E-4ADF-BDC6-A2C45AD5044D}">
          <x14:formula1>
            <xm:f>Data_Lists!$D$2:$D$9</xm:f>
          </x14:formula1>
          <xm:sqref>D18</xm:sqref>
        </x14:dataValidation>
        <x14:dataValidation type="list" allowBlank="1" showInputMessage="1" showErrorMessage="1" promptTitle="Hourly rate for installation" prompt="Select the cost level most appropriate to your project. Cost range from percentile p0 to p100, with p0 representing the lowest cost and p100 represent the highest cost. If the cost is not relevant select N/A" xr:uid="{3FC010A3-44A3-4262-983C-5CB28484EF46}">
          <x14:formula1>
            <xm:f>Data_Lists!$D$2:$D$9</xm:f>
          </x14:formula1>
          <xm:sqref>D21:D22</xm:sqref>
        </x14:dataValidation>
        <x14:dataValidation type="list" allowBlank="1" showInputMessage="1" showErrorMessage="1" promptTitle="Machine hire cost per hour" prompt="Select the cost level most appropriate to your project. Cost range from percentile p0 to p100, with p0 representing the lowest cost and p100 represent the highest cost. If the cost is not relevant select N/A" xr:uid="{9A8D5716-5A23-4ACB-83CC-E143CC228593}">
          <x14:formula1>
            <xm:f>Data_Lists!$D$2:$D$9</xm:f>
          </x14:formula1>
          <xm:sqref>D23</xm:sqref>
        </x14:dataValidation>
        <x14:dataValidation type="list" allowBlank="1" showInputMessage="1" showErrorMessage="1" promptTitle="Tree protection fence" prompt="Select the cost level most appropriate to your project. Cost range from percentile p0 to p100, with p0 representing the lowest cost and p100 represent the highest cost. If the cost is not relevant select N/A" xr:uid="{A851100B-ED3A-4532-94DE-DF53C4078326}">
          <x14:formula1>
            <xm:f>Data_Lists!$D$2:$D$9</xm:f>
          </x14:formula1>
          <xm:sqref>D39</xm:sqref>
        </x14:dataValidation>
        <x14:dataValidation type="list" allowBlank="1" showInputMessage="1" showErrorMessage="1" promptTitle="Cost of removing any trees" prompt="Select the cost level most appropriate to your project. Cost range from percentile p0 for small trees to p100 for extra large trees. The &quot;average&quot; cost is for a medium sized tree. If the cost is not relevant select N/A" xr:uid="{A05842B8-D232-4764-9915-62498E3343E1}">
          <x14:formula1>
            <xm:f>Data_Lists!$D$2:$D$9</xm:f>
          </x14:formula1>
          <xm:sqref>D9</xm:sqref>
        </x14:dataValidation>
        <x14:dataValidation type="list" allowBlank="1" showInputMessage="1" showErrorMessage="1" promptTitle="Cost of a cubic metre of soil" prompt="Select the cost level most appropriate to your project. Cost range from percentile p0 to p100, with p0 representing the lowest cost and p100 represent the highest cost. If the cost is not relevant select N/A" xr:uid="{19AF6EEA-0243-40AC-A9D7-FB8A53235270}">
          <x14:formula1>
            <xm:f>Data_Lists!$D$2:$D$9</xm:f>
          </x14:formula1>
          <xm:sqref>D14</xm:sqref>
        </x14:dataValidation>
        <x14:dataValidation type="list" allowBlank="1" showInputMessage="1" showErrorMessage="1" promptTitle="First year maintenance" prompt="Select the cost level most appropriate to your project. Cost range from percentile p0 to p100, with p0 representing the lowest cost and p100 represent the highest cost. If the cost is not relevant select N/A" xr:uid="{330485EB-A2E3-4039-AB85-1000FBAA7C56}">
          <x14:formula1>
            <xm:f>Data_Lists!$D$2:$D$9</xm:f>
          </x14:formula1>
          <xm:sqref>D44</xm:sqref>
        </x14:dataValidation>
        <x14:dataValidation type="list" allowBlank="1" showInputMessage="1" showErrorMessage="1" errorTitle="Iflation rate" error="Recommended base inflation rate is 2.5% as per the the RBA target of 2-3% target. Use the other rates for sensitivity analysis purposes." promptTitle="Inflation rate" prompt="Recommended base inflation rate is 2.5% as per the the RBA target of 2-3% target. Use the other rates for sensitivity analysis purposes." xr:uid="{4ACAAEA7-8C5D-4A80-B636-C4E8BE8C4ACC}">
          <x14:formula1>
            <xm:f>Data_Lists!$J$2:$J$16</xm:f>
          </x14:formula1>
          <xm:sqref>F58</xm:sqref>
        </x14:dataValidation>
        <x14:dataValidation type="list" allowBlank="1" showInputMessage="1" showErrorMessage="1" errorTitle="Required amount of soil per tree" error="Select a value between 0 and 1m3. This is the amount of soil requited for an individual tree." promptTitle="Amount of soil" prompt="Select the amount of soil in cubic metres required per tree" xr:uid="{17BCAF3C-518F-43F2-8336-DB482C2AAB14}">
          <x14:formula1>
            <xm:f>Data_Lists!$F$2:$F$12</xm:f>
          </x14:formula1>
          <xm:sqref>F15</xm:sqref>
        </x14:dataValidation>
        <x14:dataValidation type="list" allowBlank="1" showInputMessage="1" showErrorMessage="1" errorTitle="Tree health inspection " error="Select value from the drop-down menu, if this cost is not applicable then select &quot;N/A&quot;" promptTitle="Tree health inspection" prompt="Select value from the drop-down menu, if this cost is not applicable then select &quot;N/A&quot;" xr:uid="{D2ACD800-03D1-4AC9-AE9A-7610DBFF452E}">
          <x14:formula1>
            <xm:f>Data_Lists!$D$2:$D$9</xm:f>
          </x14:formula1>
          <xm:sqref>D47</xm:sqref>
        </x14:dataValidation>
        <x14:dataValidation type="list" allowBlank="1" showInputMessage="1" showErrorMessage="1" promptTitle="Installation" prompt="Select the cost level most appropriate to your project. Cost range from percentile p0 to p100, with p0 representing the lowest cost and p100 represent the highest cost. Select N/A if you have unbundled cost and the use Q8 to include the installation costs" xr:uid="{DEE5799E-5439-44C3-A29A-79FBE86758F6}">
          <x14:formula1>
            <xm:f>Data_Lists!$D$2:$D$9</xm:f>
          </x14:formula1>
          <xm:sqref>D19</xm:sqref>
        </x14:dataValidation>
        <x14:dataValidation type="list" allowBlank="1" showInputMessage="1" showErrorMessage="1" promptTitle="Stakes and ties" prompt="Select the cost level most appropriate to your project. Cost range from percentile p0 to p100, with p0 representing the lowest cost and p100 represent the highest cost. If the cost is not relevant select N/A" xr:uid="{3A91F8AC-5FC2-48E6-B943-39197CFCFD97}">
          <x14:formula1>
            <xm:f>Data_Lists!$D$2:$D$9</xm:f>
          </x14:formula1>
          <xm:sqref>D18</xm:sqref>
        </x14:dataValidation>
        <x14:dataValidation type="list" allowBlank="1" showInputMessage="1" showErrorMessage="1" promptTitle="Tree installation" prompt="Select the cost level most appropriate to your project. Cost range from percentile p0 to p100, with p0 representing the lowest cost and p100 represent the highest cost. If the cost is not relevant select N/A" xr:uid="{70599D97-E6DA-40BF-8DB8-021ADC88FB63}">
          <x14:formula1>
            <xm:f>Data_Lists!$D$2:$D$9</xm:f>
          </x14:formula1>
          <xm:sqref>D19</xm:sqref>
        </x14:dataValidation>
        <x14:dataValidation type="list" allowBlank="1" showInputMessage="1" showErrorMessage="1" promptTitle="Watering $/tree/visit" prompt="Select the cost level most appropriate to your project. Cost range from percentile p0 to p100, with p0 representing the lowest cost and p100 represent the highest cost. If the cost is not relevant select N/A" xr:uid="{DA289851-BD1C-44DF-B9B7-9D30BC70BF15}">
          <x14:formula1>
            <xm:f>Data_Lists!$D$2:$D$9</xm:f>
          </x14:formula1>
          <xm:sqref>D24</xm:sqref>
        </x14:dataValidation>
        <x14:dataValidation type="list" allowBlank="1" showInputMessage="1" showErrorMessage="1" prompt="Select the cost level most appropriate to your project. Cost range from percentile p0 to p100, with p0 representing the lowest cost and p100 represent the highest cost. If the cost is not relevant select N/A" xr:uid="{D7013349-6458-4284-9D64-6F8CAF5775BF}">
          <x14:formula1>
            <xm:f>Data_Lists!$D$2:$D$9</xm:f>
          </x14:formula1>
          <xm:sqref>D32:D36</xm:sqref>
        </x14:dataValidation>
        <x14:dataValidation type="list" allowBlank="1" showInputMessage="1" showErrorMessage="1" errorTitle="STOP" error="Select frequency from the drop down menu" promptTitle="Year 1 watering frequency" prompt="Select the desired frequency or enter the estimate average number of watering visits for the whole year in Column G. If the cost is not relevant select N/A" xr:uid="{8E39220A-EA23-4357-BD53-8C4ABF09E46E}">
          <x14:formula1>
            <xm:f>Data_Lists!$O$6:$O$14</xm:f>
          </x14:formula1>
          <xm:sqref>D25</xm:sqref>
        </x14:dataValidation>
        <x14:dataValidation type="list" allowBlank="1" showInputMessage="1" showErrorMessage="1" errorTitle="STOP" error="Select frequency from the drop down menu" promptTitle="Rapid inspection frequency" prompt="This is the estimated average frequency for rapid visual tree inspections. Alternatively, enter the average annual inspection frequency in Column G" xr:uid="{37433718-E722-4E17-AFAD-5FF0E8D1776F}">
          <x14:formula1>
            <xm:f>Data_Lists!$L$2:$L$7</xm:f>
          </x14:formula1>
          <xm:sqref>D31</xm:sqref>
        </x14:dataValidation>
        <x14:dataValidation type="list" allowBlank="1" showInputMessage="1" showErrorMessage="1" promptTitle="Strata cells/vault" prompt="Select the cost level most appropriate to your project. Cost range from percentile p0 to p100, with p0 representing the lowest cost and p100 represent the highest cost. If the cost is not relevant select N/A" xr:uid="{4AEEC7C2-D065-44B8-A639-8A5DB00AD159}">
          <x14:formula1>
            <xm:f>Data_Lists!$D$2:$D$9</xm:f>
          </x14:formula1>
          <xm:sqref>D27</xm:sqref>
        </x14:dataValidation>
        <x14:dataValidation type="list" allowBlank="1" showInputMessage="1" showErrorMessage="1" errorTitle="Required amount of soil per tree" error="Select a value between 0 and 1m3. This is the amount of mulch required for an individual tree." promptTitle="Amount of mulch" prompt="Select the amount of mulch in cubic metres required per tree" xr:uid="{D2BE2C9B-A9A0-4C38-9E0F-0FD6711D458B}">
          <x14:formula1>
            <xm:f>Data_Lists!$F$2:$F$12</xm:f>
          </x14:formula1>
          <xm:sqref>F17</xm:sqref>
        </x14:dataValidation>
        <x14:dataValidation type="list" allowBlank="1" showInputMessage="1" showErrorMessage="1" promptTitle="Guard rails" prompt="Select the cost level most appropriate to your project. Cost range from percentile p0 to p100, with p0 representing the lowest cost and p100 represent the highest cost. If the cost is not relevant select N/A" xr:uid="{D66EB6D5-82BC-461E-8C56-152633404881}">
          <x14:formula1>
            <xm:f>Data_Lists!$D$2:$D$9</xm:f>
          </x14:formula1>
          <xm:sqref>D41</xm:sqref>
        </x14:dataValidation>
        <x14:dataValidation type="list" allowBlank="1" showInputMessage="1" showErrorMessage="1" errorTitle="Appraisal period" error="Recommended appraisal period is 30 years" promptTitle="Appraisal period" prompt="Recommended appraisal period is 30 years. But you can select a different appraisal." xr:uid="{5544971B-4642-43B4-A12B-82127F91012E}">
          <x14:formula1>
            <xm:f>Data_Lists!$B$11:$B$16</xm:f>
          </x14:formula1>
          <xm:sqref>F59</xm:sqref>
        </x14:dataValidation>
        <x14:dataValidation type="list" allowBlank="1" showInputMessage="1" showErrorMessage="1" promptTitle="Mortality rate-poor maintenance" prompt="Select your estimated baseline mortality rate" xr:uid="{04901E63-CF0E-4015-BB02-C2C633821099}">
          <x14:formula1>
            <xm:f>Data_Lists!$H$2:$H$82</xm:f>
          </x14:formula1>
          <xm:sqref>F52</xm:sqref>
        </x14:dataValidation>
        <x14:dataValidation type="list" allowBlank="1" showInputMessage="1" showErrorMessage="1" errorTitle="Post-establishment mortality rat" error="Select value from the drop-down menu" promptTitle="Accident and mortality rate" prompt="This is the mortality rate due to accidents and vandalism" xr:uid="{3F13D22B-D473-476A-B2AF-F8B43D75D9FA}">
          <x14:formula1>
            <xm:f>Data_Lists!$H$2:$H$82</xm:f>
          </x14:formula1>
          <xm:sqref>F55</xm:sqref>
        </x14:dataValidation>
        <x14:dataValidation type="list" allowBlank="1" showInputMessage="1" showErrorMessage="1" promptTitle="Mortalit rate - good maintenance" prompt="Select your estimated mortality rate under a good maintenance regime (should be less than value above - in 24a)_x000a_" xr:uid="{8E4B125B-232C-4914-80CD-90FA808FBB2E}">
          <x14:formula1>
            <xm:f>Data_Lists!$H$2:$H$82</xm:f>
          </x14:formula1>
          <xm:sqref>F53</xm:sqref>
        </x14:dataValidation>
        <x14:dataValidation type="list" allowBlank="1" showInputMessage="1" showErrorMessage="1" errorTitle="Post-establishment mortality rat" error="Select value from the drop-down menu" promptTitle="Post-establishment mortality" prompt="This is the estimated percent (%) of trees that will die after the first 5 years_x000a_" xr:uid="{A914265A-C4C9-4BA2-9007-A5223532EB7D}">
          <x14:formula1>
            <xm:f>Data_Lists!$H$2:$H$82</xm:f>
          </x14:formula1>
          <xm:sqref>F54</xm:sqref>
        </x14:dataValidation>
        <x14:dataValidation type="list" allowBlank="1" showInputMessage="1" showErrorMessage="1" promptTitle="Year 3 onwards maintenance" prompt="Select the cost level most appropriate to your project. Cost range from percentile p0 to p100, with p0 representing the lowest cost and p100 represent the highest cost. If the cost is not relevant select N/A" xr:uid="{71353ECF-9B12-47FC-ABD5-FB63678519C6}">
          <x14:formula1>
            <xm:f>Data_Lists!$D$2:$D$9</xm:f>
          </x14:formula1>
          <xm:sqref>D46</xm:sqref>
        </x14:dataValidation>
        <x14:dataValidation type="list" allowBlank="1" showInputMessage="1" showErrorMessage="1" promptTitle="Year 2 maintenance" prompt="Select the cost level most appropriate to your project. Cost range from percentile p0 to p100, with p0 representing the lowest cost and p100 represent the highest cost. If the cost is not relevant select N/A" xr:uid="{329669A6-E958-4BD3-8E93-CF50178B78AA}">
          <x14:formula1>
            <xm:f>Data_Lists!$D$2:$D$9</xm:f>
          </x14:formula1>
          <xm:sqref>D45</xm:sqref>
        </x14:dataValidation>
        <x14:dataValidation type="list" allowBlank="1" showInputMessage="1" showErrorMessage="1" promptTitle="Fencing (supply &amp; install)" prompt="Select the cost level most appropriate to your project. Cost range from percentile p0 to p100, with p0 representing the lowest cost and p100 represent the highest cost. If the cost is not relevant select N/A" xr:uid="{FE3DEA91-9EAC-4C1A-87F9-5F70B949BF93}">
          <x14:formula1>
            <xm:f>Data_Lists!$D$2:$D$9</xm:f>
          </x14:formula1>
          <xm:sqref>D39</xm:sqref>
        </x14:dataValidation>
        <x14:dataValidation type="list" allowBlank="1" showInputMessage="1" showErrorMessage="1" promptTitle="Rapid visual assessment" prompt="Select the cost level most appropriate to your project. Cost range from percentile p0 to p100, with p0 representing the lowest cost and p100 represent the highest cost. If the cost is not relevant select N/A" xr:uid="{5F34632F-4758-4590-A4B7-5B757375B41F}">
          <x14:formula1>
            <xm:f>Data_Lists!$D$2:$D$9</xm:f>
          </x14:formula1>
          <xm:sqref>D29</xm:sqref>
        </x14:dataValidation>
        <x14:dataValidation type="list" allowBlank="1" showInputMessage="1" showErrorMessage="1" promptTitle="Soil" prompt="Select the cost level most appropriate to your project. Cost range from percentile p0 to p100, with p0 representing the lowest cost and p100 represent the highest cost. Select N/A if you have unbundled cost and the use Q8 to include the installation costs" xr:uid="{8C9D0402-5B8D-487B-947F-05AD7E1D7A4D}">
          <x14:formula1>
            <xm:f>Data_Lists!$D$2:$D$9</xm:f>
          </x14:formula1>
          <xm:sqref>D14</xm:sqref>
        </x14:dataValidation>
        <x14:dataValidation type="list" allowBlank="1" showInputMessage="1" showErrorMessage="1" promptTitle="Tree removal" prompt="Select the cost level most appropriate to your project. Cost range from percentile p0 to p100, with p0 representing the lowest cost and p100 represent the highest cost. Select N/A if you have unbundled cost and the use Q8 to include the installation costs" xr:uid="{0FE0AE71-616E-4BCD-82F7-E9A73154B71B}">
          <x14:formula1>
            <xm:f>Data_Lists!$D$2:$D$9</xm:f>
          </x14:formula1>
          <xm:sqref>D9</xm:sqref>
        </x14:dataValidation>
        <x14:dataValidation type="list" allowBlank="1" showInputMessage="1" showErrorMessage="1" promptTitle="Traffic control cost" prompt="Select the cost level most appropriate to your project. Cost range from percentile p0 to p100, with p0 representing the lowest cost and p100 represent the highest cost. If the cost is not relevant select N/A" xr:uid="{E6F02C11-7F8C-413B-A2C2-758CEAB5FC9D}">
          <x14:formula1>
            <xm:f>Data_Lists!$D$2:$D$9</xm:f>
          </x14:formula1>
          <xm:sqref>D40</xm:sqref>
        </x14:dataValidation>
        <x14:dataValidation type="list" allowBlank="1" showInputMessage="1" showErrorMessage="1" promptTitle="GIS and Inventory" prompt="Select the cost level most appropriate to your project. Cost range from percentile p0 to p100, with p0 representing the lowest cost and p100 represent the highest cost. If the cost is not relevant select N/A" xr:uid="{63F5B8C1-8233-4E6E-82B6-4FCD2386723B}">
          <x14:formula1>
            <xm:f>Data_Lists!$D$2:$D$9</xm:f>
          </x14:formula1>
          <xm:sqref>D50</xm:sqref>
        </x14:dataValidation>
        <x14:dataValidation type="list" allowBlank="1" showInputMessage="1" showErrorMessage="1" promptTitle="Tree health inspection frequency" prompt="Select inspection frequency from the drop-down menu, if this cost is not applicable then select &quot;N/A&quot;" xr:uid="{0F628755-DAC8-4B59-A212-8845DEBBB4FB}">
          <x14:formula1>
            <xm:f>Data_Lists!$L$2:$L$7</xm:f>
          </x14:formula1>
          <xm:sqref>D49</xm:sqref>
        </x14:dataValidation>
        <x14:dataValidation type="list" allowBlank="1" showInputMessage="1" showErrorMessage="1" errorTitle="STOP" error="Select frequency from the drop down menu" promptTitle="Year 2+ watering frequency" prompt="Select the desired frequency or enter the estimate average number of watering visits for the whole year in Column G. If the cost is not relevant select N/A" xr:uid="{0EE3AA51-6FEF-4D1A-8C3A-98208519EB73}">
          <x14:formula1>
            <xm:f>Data_Lists!$O$6:$O$13</xm:f>
          </x14:formula1>
          <xm:sqref>D26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D12C6099B7CB428B509505EC9722F0" ma:contentTypeVersion="12" ma:contentTypeDescription="Create a new document." ma:contentTypeScope="" ma:versionID="2d42c2d64f2c40651e2f10fb5090ac11">
  <xsd:schema xmlns:xsd="http://www.w3.org/2001/XMLSchema" xmlns:xs="http://www.w3.org/2001/XMLSchema" xmlns:p="http://schemas.microsoft.com/office/2006/metadata/properties" xmlns:ns2="06f84250-005b-436a-8855-075ce8717039" xmlns:ns3="a08fcc39-4ceb-44ff-842b-a94cf79b10f6" targetNamespace="http://schemas.microsoft.com/office/2006/metadata/properties" ma:root="true" ma:fieldsID="615827cbffd55577ab74bd03f76fe14e" ns2:_="" ns3:_="">
    <xsd:import namespace="06f84250-005b-436a-8855-075ce8717039"/>
    <xsd:import namespace="a08fcc39-4ceb-44ff-842b-a94cf79b10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84250-005b-436a-8855-075ce8717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8fcc39-4ceb-44ff-842b-a94cf79b10f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1BAEB3-C988-4969-8892-34576F6F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84250-005b-436a-8855-075ce8717039"/>
    <ds:schemaRef ds:uri="a08fcc39-4ceb-44ff-842b-a94cf79b1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2C0347-457C-4F84-AEB7-380A6EAA7FE5}">
  <ds:schemaRefs>
    <ds:schemaRef ds:uri="http://schemas.microsoft.com/sharepoint/v3/contenttype/forms"/>
  </ds:schemaRefs>
</ds:datastoreItem>
</file>

<file path=customXml/itemProps3.xml><?xml version="1.0" encoding="utf-8"?>
<ds:datastoreItem xmlns:ds="http://schemas.openxmlformats.org/officeDocument/2006/customXml" ds:itemID="{D9DA0151-2EEC-4B3C-92B7-3749D47C7789}">
  <ds:schemaRefs>
    <ds:schemaRef ds:uri="http://www.w3.org/XML/1998/namespace"/>
    <ds:schemaRef ds:uri="http://purl.org/dc/terms/"/>
    <ds:schemaRef ds:uri="http://purl.org/dc/elements/1.1/"/>
    <ds:schemaRef ds:uri="f726f95e-fa03-4a92-918e-86eb6ee0b9b9"/>
    <ds:schemaRef ds:uri="http://schemas.microsoft.com/office/2006/documentManagement/types"/>
    <ds:schemaRef ds:uri="871dc683-8a43-49c7-a602-30d41e6864fa"/>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Charts</vt:lpstr>
      </vt:variant>
      <vt:variant>
        <vt:i4>3</vt:i4>
      </vt:variant>
    </vt:vector>
  </HeadingPairs>
  <TitlesOfParts>
    <vt:vector size="20" baseType="lpstr">
      <vt:lpstr>About</vt:lpstr>
      <vt:lpstr>Instructions</vt:lpstr>
      <vt:lpstr>Cost explanations</vt:lpstr>
      <vt:lpstr>Input_Data</vt:lpstr>
      <vt:lpstr>Area_based_costs</vt:lpstr>
      <vt:lpstr>Data_Lists</vt:lpstr>
      <vt:lpstr>Results_Summary</vt:lpstr>
      <vt:lpstr>Data_Entry</vt:lpstr>
      <vt:lpstr>Dashboard_1</vt:lpstr>
      <vt:lpstr>Dashboard_2</vt:lpstr>
      <vt:lpstr>Dashboard_3</vt:lpstr>
      <vt:lpstr>Model_1</vt:lpstr>
      <vt:lpstr>Model_2</vt:lpstr>
      <vt:lpstr>Model_3</vt:lpstr>
      <vt:lpstr>Cumulative_Costs_1</vt:lpstr>
      <vt:lpstr>Cumulative_Costs_2</vt:lpstr>
      <vt:lpstr>Cumulative_Costs_3</vt:lpstr>
      <vt:lpstr>Cashflow_1</vt:lpstr>
      <vt:lpstr>Cashflow_2</vt:lpstr>
      <vt:lpstr>Cashflow_3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Buyani Thomy</dc:creator>
  <cp:lastModifiedBy>Grant Telford</cp:lastModifiedBy>
  <cp:lastPrinted>2019-08-27T06:17:53Z</cp:lastPrinted>
  <dcterms:created xsi:type="dcterms:W3CDTF">2015-06-05T18:17:20Z</dcterms:created>
  <dcterms:modified xsi:type="dcterms:W3CDTF">2021-08-04T00:11:48Z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0x0101009AD12C6099B7CB428B509505EC9722F0</vt:lpwstr>
  </property>
</Properties>
</file>